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1" yWindow="65510" windowWidth="15421" windowHeight="4176" firstSheet="1" activeTab="2"/>
  </bookViews>
  <sheets>
    <sheet name="基本単価表入力表" sheetId="1" state="hidden" r:id="rId1"/>
    <sheet name="契約書支払別紙" sheetId="2" r:id="rId2"/>
    <sheet name="設計書鑑" sheetId="3" r:id="rId3"/>
    <sheet name="内訳書" sheetId="4" r:id="rId4"/>
    <sheet name="総合運営管理業務" sheetId="5" r:id="rId5"/>
    <sheet name="総合運営管理業務 (2)" sheetId="6" r:id="rId6"/>
    <sheet name="総合案内業務" sheetId="7" r:id="rId7"/>
    <sheet name="総合案内業務(2)" sheetId="8" r:id="rId8"/>
    <sheet name="園内巡回業務" sheetId="9" r:id="rId9"/>
    <sheet name="園内巡回業務 (2)" sheetId="10" r:id="rId10"/>
    <sheet name="園内巡回業務 (3)" sheetId="11" r:id="rId11"/>
    <sheet name="プール監視業務 " sheetId="12" r:id="rId12"/>
    <sheet name="プール監視業務（2）" sheetId="13" r:id="rId13"/>
    <sheet name="ロッカー管理業務" sheetId="14" r:id="rId14"/>
    <sheet name="ロッカー管理業務 (2)" sheetId="15" r:id="rId15"/>
    <sheet name="入退園管理業務 " sheetId="16" r:id="rId16"/>
    <sheet name="入退園管理業務（2）" sheetId="17" r:id="rId17"/>
    <sheet name="駐輪場管理業務" sheetId="18" r:id="rId18"/>
    <sheet name="駐輪場管理業務 (2)" sheetId="19" r:id="rId19"/>
    <sheet name="駐輪場管理業務 (3)" sheetId="20" r:id="rId20"/>
    <sheet name="救護業務 " sheetId="21" r:id="rId21"/>
    <sheet name="救護業務(2)" sheetId="22" r:id="rId22"/>
    <sheet name="開園準備業務" sheetId="23" r:id="rId23"/>
    <sheet name="閉園収納業務" sheetId="24" r:id="rId24"/>
    <sheet name="園内清掃業務" sheetId="25" r:id="rId25"/>
    <sheet name="園内清掃業務 (2)" sheetId="26" r:id="rId26"/>
    <sheet name="設備保守管理業務" sheetId="27" r:id="rId27"/>
    <sheet name="水質管理業務" sheetId="28" r:id="rId28"/>
    <sheet name="水質管理業務 (2)" sheetId="29" r:id="rId29"/>
    <sheet name="監視員等教育業務" sheetId="30" r:id="rId30"/>
    <sheet name="自家用電気工作物点検業務" sheetId="31" r:id="rId31"/>
    <sheet name="消防用設備等保守点検業務" sheetId="32" r:id="rId32"/>
    <sheet name="中央公園トイレ清掃業務" sheetId="33" r:id="rId33"/>
    <sheet name="中央公園トイレ清掃業務 (2)" sheetId="34" r:id="rId34"/>
    <sheet name="総括責任者単価" sheetId="35" r:id="rId35"/>
    <sheet name="主任管理員単価" sheetId="36" r:id="rId36"/>
    <sheet name="管理員単価" sheetId="37" r:id="rId37"/>
    <sheet name="主任監視員単価" sheetId="38" r:id="rId38"/>
    <sheet name="案内員Ａ単価" sheetId="39" r:id="rId39"/>
    <sheet name="案内員Ｂ単価" sheetId="40" r:id="rId40"/>
    <sheet name="監視員単価" sheetId="41" r:id="rId41"/>
    <sheet name="看護師単価" sheetId="42" r:id="rId42"/>
    <sheet name="誘導整理員単価" sheetId="43" r:id="rId43"/>
    <sheet name="業務員単価" sheetId="44" r:id="rId44"/>
    <sheet name="公園トイレ清掃１" sheetId="45" r:id="rId45"/>
    <sheet name="公園トイレ清掃２" sheetId="46" r:id="rId46"/>
    <sheet name="監視員等教育" sheetId="47" r:id="rId47"/>
    <sheet name="ダンプトラック運転" sheetId="48" r:id="rId48"/>
  </sheets>
  <definedNames>
    <definedName name="_xlnm.Print_Area" localSheetId="47">'ダンプトラック運転'!$A$1:$J$21</definedName>
    <definedName name="_xlnm.Print_Area" localSheetId="11">'プール監視業務 '!$A$1:$J$21</definedName>
    <definedName name="_xlnm.Print_Area" localSheetId="12">'プール監視業務（2）'!$A$1:$J$21</definedName>
    <definedName name="_xlnm.Print_Area" localSheetId="13">'ロッカー管理業務'!$A$1:$J$21</definedName>
    <definedName name="_xlnm.Print_Area" localSheetId="14">'ロッカー管理業務 (2)'!$A$1:$J$21</definedName>
    <definedName name="_xlnm.Print_Area" localSheetId="38">'案内員Ａ単価'!$A$1:$J$21</definedName>
    <definedName name="_xlnm.Print_Area" localSheetId="39">'案内員Ｂ単価'!$A$1:$J$21</definedName>
    <definedName name="_xlnm.Print_Area" localSheetId="8">'園内巡回業務'!$A$1:$I$21</definedName>
    <definedName name="_xlnm.Print_Area" localSheetId="9">'園内巡回業務 (2)'!$A$1:$J$21</definedName>
    <definedName name="_xlnm.Print_Area" localSheetId="10">'園内巡回業務 (3)'!$A$1:$J$21</definedName>
    <definedName name="_xlnm.Print_Area" localSheetId="24">'園内清掃業務'!$A$1:$J$21</definedName>
    <definedName name="_xlnm.Print_Area" localSheetId="25">'園内清掃業務 (2)'!$A$1:$J$21</definedName>
    <definedName name="_xlnm.Print_Area" localSheetId="22">'開園準備業務'!$A$1:$J$21</definedName>
    <definedName name="_xlnm.Print_Area" localSheetId="40">'監視員単価'!$A$1:$J$21</definedName>
    <definedName name="_xlnm.Print_Area" localSheetId="46">'監視員等教育'!$A$1:$J$21</definedName>
    <definedName name="_xlnm.Print_Area" localSheetId="29">'監視員等教育業務'!$A$1:$J$21</definedName>
    <definedName name="_xlnm.Print_Area" localSheetId="41">'看護師単価'!$A$1:$J$21</definedName>
    <definedName name="_xlnm.Print_Area" localSheetId="36">'管理員単価'!$A$1:$J$21</definedName>
    <definedName name="_xlnm.Print_Area" localSheetId="20">'救護業務 '!$A$1:$J$21</definedName>
    <definedName name="_xlnm.Print_Area" localSheetId="21">'救護業務(2)'!$A$1:$J$21</definedName>
    <definedName name="_xlnm.Print_Area" localSheetId="43">'業務員単価'!$A$1:$J$21</definedName>
    <definedName name="_xlnm.Print_Area" localSheetId="1">'契約書支払別紙'!$A$1:$I$36</definedName>
    <definedName name="_xlnm.Print_Area" localSheetId="44">'公園トイレ清掃１'!$A$1:$M$32</definedName>
    <definedName name="_xlnm.Print_Area" localSheetId="45">'公園トイレ清掃２'!$A$1:$M$32</definedName>
    <definedName name="_xlnm.Print_Area" localSheetId="30">'自家用電気工作物点検業務'!$A$1:$J$15</definedName>
    <definedName name="_xlnm.Print_Area" localSheetId="37">'主任監視員単価'!$A$1:$J$21</definedName>
    <definedName name="_xlnm.Print_Area" localSheetId="35">'主任管理員単価'!$A$1:$J$21</definedName>
    <definedName name="_xlnm.Print_Area" localSheetId="31">'消防用設備等保守点検業務'!$A$1:$J$15</definedName>
    <definedName name="_xlnm.Print_Area" localSheetId="27">'水質管理業務'!$A$1:$J$21</definedName>
    <definedName name="_xlnm.Print_Area" localSheetId="28">'水質管理業務 (2)'!$A$1:$J$21</definedName>
    <definedName name="_xlnm.Print_Area" localSheetId="2">'設計書鑑'!$A$1:$P$30</definedName>
    <definedName name="_xlnm.Print_Area" localSheetId="26">'設備保守管理業務'!$A$1:$J$21</definedName>
    <definedName name="_xlnm.Print_Area" localSheetId="34">'総括責任者単価'!$A$1:$J$21</definedName>
    <definedName name="_xlnm.Print_Area" localSheetId="6">'総合案内業務'!$A$1:$J$21</definedName>
    <definedName name="_xlnm.Print_Area" localSheetId="7">'総合案内業務(2)'!$A$1:$J$21</definedName>
    <definedName name="_xlnm.Print_Area" localSheetId="4">'総合運営管理業務'!$A$1:$J$21</definedName>
    <definedName name="_xlnm.Print_Area" localSheetId="5">'総合運営管理業務 (2)'!$A$1:$J$21</definedName>
    <definedName name="_xlnm.Print_Area" localSheetId="32">'中央公園トイレ清掃業務'!$A$1:$J$22</definedName>
    <definedName name="_xlnm.Print_Area" localSheetId="33">'中央公園トイレ清掃業務 (2)'!$A$1:$J$22</definedName>
    <definedName name="_xlnm.Print_Area" localSheetId="17">'駐輪場管理業務'!$A$1:$J$21</definedName>
    <definedName name="_xlnm.Print_Area" localSheetId="18">'駐輪場管理業務 (2)'!$A$1:$J$21</definedName>
    <definedName name="_xlnm.Print_Area" localSheetId="19">'駐輪場管理業務 (3)'!$A$1:$J$21</definedName>
    <definedName name="_xlnm.Print_Area" localSheetId="3">'内訳書'!$A$1:$I$56</definedName>
    <definedName name="_xlnm.Print_Area" localSheetId="15">'入退園管理業務 '!$A$1:$J$21</definedName>
    <definedName name="_xlnm.Print_Area" localSheetId="16">'入退園管理業務（2）'!$A$1:$J$21</definedName>
    <definedName name="_xlnm.Print_Area" localSheetId="23">'閉園収納業務'!$A$1:$J$21</definedName>
    <definedName name="_xlnm.Print_Area" localSheetId="42">'誘導整理員単価'!$A$1:$J$21</definedName>
    <definedName name="_xlnm.Print_Titles" localSheetId="11">'プール監視業務 '!$2:$4</definedName>
    <definedName name="_xlnm.Print_Titles" localSheetId="12">'プール監視業務（2）'!$2:$4</definedName>
    <definedName name="_xlnm.Print_Titles" localSheetId="13">'ロッカー管理業務'!$2:$4</definedName>
    <definedName name="_xlnm.Print_Titles" localSheetId="14">'ロッカー管理業務 (2)'!$2:$4</definedName>
    <definedName name="_xlnm.Print_Titles" localSheetId="38">'案内員Ａ単価'!$2:$4</definedName>
    <definedName name="_xlnm.Print_Titles" localSheetId="9">'園内巡回業務 (2)'!$2:$4</definedName>
    <definedName name="_xlnm.Print_Titles" localSheetId="10">'園内巡回業務 (3)'!$2:$4</definedName>
    <definedName name="_xlnm.Print_Titles" localSheetId="24">'園内清掃業務'!$2:$4</definedName>
    <definedName name="_xlnm.Print_Titles" localSheetId="25">'園内清掃業務 (2)'!$2:$4</definedName>
    <definedName name="_xlnm.Print_Titles" localSheetId="22">'開園準備業務'!$2:$4</definedName>
    <definedName name="_xlnm.Print_Titles" localSheetId="40">'監視員単価'!$2:$4</definedName>
    <definedName name="_xlnm.Print_Titles" localSheetId="46">'監視員等教育'!$2:$4</definedName>
    <definedName name="_xlnm.Print_Titles" localSheetId="29">'監視員等教育業務'!$2:$4</definedName>
    <definedName name="_xlnm.Print_Titles" localSheetId="41">'看護師単価'!$2:$4</definedName>
    <definedName name="_xlnm.Print_Titles" localSheetId="20">'救護業務 '!$2:$4</definedName>
    <definedName name="_xlnm.Print_Titles" localSheetId="21">'救護業務(2)'!$2:$4</definedName>
    <definedName name="_xlnm.Print_Titles" localSheetId="43">'業務員単価'!$2:$4</definedName>
    <definedName name="_xlnm.Print_Titles" localSheetId="37">'主任監視員単価'!$2:$4</definedName>
    <definedName name="_xlnm.Print_Titles" localSheetId="35">'主任管理員単価'!$2:$4</definedName>
    <definedName name="_xlnm.Print_Titles" localSheetId="27">'水質管理業務'!$2:$4</definedName>
    <definedName name="_xlnm.Print_Titles" localSheetId="28">'水質管理業務 (2)'!$2:$4</definedName>
    <definedName name="_xlnm.Print_Titles" localSheetId="2">'設計書鑑'!$3:$4</definedName>
    <definedName name="_xlnm.Print_Titles" localSheetId="26">'設備保守管理業務'!$2:$4</definedName>
    <definedName name="_xlnm.Print_Titles" localSheetId="34">'総括責任者単価'!$2:$4</definedName>
    <definedName name="_xlnm.Print_Titles" localSheetId="6">'総合案内業務'!$2:$4</definedName>
    <definedName name="_xlnm.Print_Titles" localSheetId="7">'総合案内業務(2)'!$2:$4</definedName>
    <definedName name="_xlnm.Print_Titles" localSheetId="4">'総合運営管理業務'!$2:$4</definedName>
    <definedName name="_xlnm.Print_Titles" localSheetId="5">'総合運営管理業務 (2)'!$2:$4</definedName>
    <definedName name="_xlnm.Print_Titles" localSheetId="17">'駐輪場管理業務'!$2:$4</definedName>
    <definedName name="_xlnm.Print_Titles" localSheetId="18">'駐輪場管理業務 (2)'!$2:$4</definedName>
    <definedName name="_xlnm.Print_Titles" localSheetId="19">'駐輪場管理業務 (3)'!$2:$4</definedName>
    <definedName name="_xlnm.Print_Titles" localSheetId="15">'入退園管理業務 '!$2:$4</definedName>
    <definedName name="_xlnm.Print_Titles" localSheetId="16">'入退園管理業務（2）'!$2:$4</definedName>
    <definedName name="_xlnm.Print_Titles" localSheetId="23">'閉園収納業務'!$2:$4</definedName>
    <definedName name="_xlnm.Print_Titles" localSheetId="42">'誘導整理員単価'!$2:$4</definedName>
  </definedNames>
  <calcPr fullCalcOnLoad="1"/>
</workbook>
</file>

<file path=xl/sharedStrings.xml><?xml version="1.0" encoding="utf-8"?>
<sst xmlns="http://schemas.openxmlformats.org/spreadsheetml/2006/main" count="1648" uniqueCount="464">
  <si>
    <t>休日勤務手当</t>
  </si>
  <si>
    <t>盆勤務手当</t>
  </si>
  <si>
    <t>人</t>
  </si>
  <si>
    <t>業務職賃金（重労働）</t>
  </si>
  <si>
    <t>誘導整理員（１人・１ポスト・１日当り）</t>
  </si>
  <si>
    <t>総括責任者（１人・１ポスト・１日当り）</t>
  </si>
  <si>
    <t>手当（休日勤務）</t>
  </si>
  <si>
    <t>手当（盆勤務）</t>
  </si>
  <si>
    <t>手当（主任）</t>
  </si>
  <si>
    <t>数量</t>
  </si>
  <si>
    <t>単価</t>
  </si>
  <si>
    <t>金額</t>
  </si>
  <si>
    <t>摘要</t>
  </si>
  <si>
    <t>監視員（１人・１ポスト・１日当り）</t>
  </si>
  <si>
    <t>開園準備作業</t>
  </si>
  <si>
    <t>次亜塩素酸ソーダ
（有効濃度１２％以上）</t>
  </si>
  <si>
    <t>水質検査</t>
  </si>
  <si>
    <t>回</t>
  </si>
  <si>
    <t>洗剤・雑器具・消耗品等</t>
  </si>
  <si>
    <t>ダンプトラック運転（１時間当り）</t>
  </si>
  <si>
    <t>主任監視員
（水難救助有資格者）</t>
  </si>
  <si>
    <t>監視員</t>
  </si>
  <si>
    <t>ダンプトラック運転
（開園準備・閉園収納）</t>
  </si>
  <si>
    <t>平日</t>
  </si>
  <si>
    <t>休憩４５分を含む</t>
  </si>
  <si>
    <t>業務員</t>
  </si>
  <si>
    <t>款</t>
  </si>
  <si>
    <t>項</t>
  </si>
  <si>
    <t>目</t>
  </si>
  <si>
    <t>閉園収納作業</t>
  </si>
  <si>
    <t>テント収納作業</t>
  </si>
  <si>
    <t>ユニットハウス
（階段・エアコン付き）</t>
  </si>
  <si>
    <t>固形状廃棄物運搬
（１回／毎日）</t>
  </si>
  <si>
    <t>開園準備業務</t>
  </si>
  <si>
    <t>開園準備作業
（備品・マット類設置）</t>
  </si>
  <si>
    <t>テント準備・設営作業</t>
  </si>
  <si>
    <t>開園前プール清掃</t>
  </si>
  <si>
    <t>メガホン・無線その他
消耗器材等を含む</t>
  </si>
  <si>
    <t>パラソル・メガホン・無線
その他消耗器材等を含む</t>
  </si>
  <si>
    <t>時間外手当</t>
  </si>
  <si>
    <t>時間</t>
  </si>
  <si>
    <t>委託金額</t>
  </si>
  <si>
    <t>主任監視員（１人・１ポスト・１日当り）</t>
  </si>
  <si>
    <t>消費税相当額</t>
  </si>
  <si>
    <t>合　計</t>
  </si>
  <si>
    <t>業務職賃金（軽労働）</t>
  </si>
  <si>
    <t>業務職賃金（中労働）</t>
  </si>
  <si>
    <t>交通費</t>
  </si>
  <si>
    <t>委託料</t>
  </si>
  <si>
    <t>指名入札</t>
  </si>
  <si>
    <t>濁度（ろ過機出口）</t>
  </si>
  <si>
    <t>総トリハロメタン</t>
  </si>
  <si>
    <t>業務職賃金（軽労働）</t>
  </si>
  <si>
    <t>水道法準拠１１検体６項目
（１回／１月）</t>
  </si>
  <si>
    <t>課長</t>
  </si>
  <si>
    <t>第</t>
  </si>
  <si>
    <t>号</t>
  </si>
  <si>
    <t>平成</t>
  </si>
  <si>
    <t>一般・特別</t>
  </si>
  <si>
    <t>所属</t>
  </si>
  <si>
    <t>契約</t>
  </si>
  <si>
    <t>年度</t>
  </si>
  <si>
    <t>職員休憩所設営
（撤去及び関連工事含む）</t>
  </si>
  <si>
    <t>３０分</t>
  </si>
  <si>
    <t>１時間</t>
  </si>
  <si>
    <t>試薬・消耗器材等</t>
  </si>
  <si>
    <t>業務名</t>
  </si>
  <si>
    <t>業務場所</t>
  </si>
  <si>
    <t>交通整理員（交代あり）</t>
  </si>
  <si>
    <t>日祝日</t>
  </si>
  <si>
    <t>支払方法等</t>
  </si>
  <si>
    <t>区分</t>
  </si>
  <si>
    <t>セライト珪藻土</t>
  </si>
  <si>
    <t>休憩１時間を含む</t>
  </si>
  <si>
    <t>金</t>
  </si>
  <si>
    <t>円</t>
  </si>
  <si>
    <t>設計概要</t>
  </si>
  <si>
    <t>工種・名称</t>
  </si>
  <si>
    <t>種別</t>
  </si>
  <si>
    <t>形状・寸法</t>
  </si>
  <si>
    <t>単位</t>
  </si>
  <si>
    <t>業務職賃金（軽労働）</t>
  </si>
  <si>
    <t>閉園収納清掃</t>
  </si>
  <si>
    <t>固形状廃棄物運搬
（全６回）</t>
  </si>
  <si>
    <t>主任管理員</t>
  </si>
  <si>
    <t>軽油</t>
  </si>
  <si>
    <t>一般運転手</t>
  </si>
  <si>
    <t>２ｔ車</t>
  </si>
  <si>
    <t>１時間当り単価</t>
  </si>
  <si>
    <t>７回</t>
  </si>
  <si>
    <t>円</t>
  </si>
  <si>
    <t>１人・１ポスト・１日当り単価</t>
  </si>
  <si>
    <t>閉園収納業務</t>
  </si>
  <si>
    <t>総括責任者</t>
  </si>
  <si>
    <t>双眼鏡・無線その他
消耗器材等を含む</t>
  </si>
  <si>
    <t>無線・文房具その他
消耗器材等を含む</t>
  </si>
  <si>
    <t>無線その他
消耗器材等を含む</t>
  </si>
  <si>
    <t>１時間３０分</t>
  </si>
  <si>
    <t>計</t>
  </si>
  <si>
    <t>警備員</t>
  </si>
  <si>
    <t>式</t>
  </si>
  <si>
    <t>合　　計</t>
  </si>
  <si>
    <t>滅菌用薬剤</t>
  </si>
  <si>
    <t>ろ剤</t>
  </si>
  <si>
    <t>１式</t>
  </si>
  <si>
    <t>普通作業員</t>
  </si>
  <si>
    <t>電工</t>
  </si>
  <si>
    <t>軽作業員</t>
  </si>
  <si>
    <t>全期間</t>
  </si>
  <si>
    <t>消耗器材等を含む</t>
  </si>
  <si>
    <t>物件費</t>
  </si>
  <si>
    <t>油脂類・消耗器材等
軽易な修繕用資材を含む</t>
  </si>
  <si>
    <t>次亜塩素酸ソーダ</t>
  </si>
  <si>
    <t>珪藻土</t>
  </si>
  <si>
    <t>ハイクロンＴ</t>
  </si>
  <si>
    <t>平均</t>
  </si>
  <si>
    <t>１回</t>
  </si>
  <si>
    <t>２回</t>
  </si>
  <si>
    <t>３回</t>
  </si>
  <si>
    <t>４回</t>
  </si>
  <si>
    <t>５回</t>
  </si>
  <si>
    <t>６回</t>
  </si>
  <si>
    <t>主任手当</t>
  </si>
  <si>
    <t>㎏</t>
  </si>
  <si>
    <t>開園準備清掃</t>
  </si>
  <si>
    <t>業務員（１人・１ポスト・１日当り）</t>
  </si>
  <si>
    <t>主任管理員（１人・１ポスト・１日当り）</t>
  </si>
  <si>
    <t>医薬品・消耗器材等を含む</t>
  </si>
  <si>
    <t>誘導整理員</t>
  </si>
  <si>
    <t>設備保守管理業務</t>
  </si>
  <si>
    <t>機械工（溶接工）</t>
  </si>
  <si>
    <t>ダンプトラック運転
（７／１～８／３１）</t>
  </si>
  <si>
    <t>７／１～８／３１
（毎日）</t>
  </si>
  <si>
    <t>電　　　工</t>
  </si>
  <si>
    <t>機　械　工</t>
  </si>
  <si>
    <t>物　件　費</t>
  </si>
  <si>
    <t>照合</t>
  </si>
  <si>
    <t>課長補佐</t>
  </si>
  <si>
    <t>検算</t>
  </si>
  <si>
    <t>設計</t>
  </si>
  <si>
    <t>レジオネラ属菌</t>
  </si>
  <si>
    <t>水質検査
（自主検査）</t>
  </si>
  <si>
    <t>看護師</t>
  </si>
  <si>
    <t>看護師（１人・１ポスト・１日当り）</t>
  </si>
  <si>
    <t>看護師賃金（病院外）</t>
  </si>
  <si>
    <t>中央公園ファミリープール管理運営その他業務</t>
  </si>
  <si>
    <t>７／１～７／２０の平日</t>
  </si>
  <si>
    <t>７／１～７／２０の土曜日</t>
  </si>
  <si>
    <t>７／２１～８／３１の
平日及び土曜日</t>
  </si>
  <si>
    <t>主任管理員</t>
  </si>
  <si>
    <t>業務員</t>
  </si>
  <si>
    <t>７／２１～８／３１の平日
及び全期間の土曜日</t>
  </si>
  <si>
    <t>全期間の日祝日</t>
  </si>
  <si>
    <t>土曜日、日祝日</t>
  </si>
  <si>
    <t>人</t>
  </si>
  <si>
    <t>交通誘導員</t>
  </si>
  <si>
    <t>（</t>
  </si>
  <si>
    <t>１０～３０㎡</t>
  </si>
  <si>
    <t>　　工　　種</t>
  </si>
  <si>
    <t>種　別</t>
  </si>
  <si>
    <t>形状寸法</t>
  </si>
  <si>
    <t>数　量</t>
  </si>
  <si>
    <t>単　価</t>
  </si>
  <si>
    <t>金　額</t>
  </si>
  <si>
    <t>摘　　　要</t>
  </si>
  <si>
    <t>人</t>
  </si>
  <si>
    <t>普通作業員</t>
  </si>
  <si>
    <t>雑　器　具</t>
  </si>
  <si>
    <t>式</t>
  </si>
  <si>
    <t>－</t>
  </si>
  <si>
    <t>労務費の５％</t>
  </si>
  <si>
    <t>消　耗　品</t>
  </si>
  <si>
    <t>洗剤・薬品等</t>
  </si>
  <si>
    <t>労務費の１％</t>
  </si>
  <si>
    <t>諸　雑　費</t>
  </si>
  <si>
    <t>計</t>
  </si>
  <si>
    <t>１回当たり</t>
  </si>
  <si>
    <t>特殊作業員</t>
  </si>
  <si>
    <t>３０㎡以上</t>
  </si>
  <si>
    <t>１０回</t>
  </si>
  <si>
    <t>業務原価計</t>
  </si>
  <si>
    <t>一般管理費</t>
  </si>
  <si>
    <t>委託価格計</t>
  </si>
  <si>
    <t>千円未満切り捨て</t>
  </si>
  <si>
    <t>合　　　計</t>
  </si>
  <si>
    <t>当たり）一位代価表</t>
  </si>
  <si>
    <t>変更理由</t>
  </si>
  <si>
    <t>設計　</t>
  </si>
  <si>
    <t xml:space="preserve">提出  </t>
  </si>
  <si>
    <t>見積り</t>
  </si>
  <si>
    <t>地下貯水槽清掃</t>
  </si>
  <si>
    <t>受水槽(130t),副受水槽(1t),地下水槽(162t),地下水槽(40t)屋外水槽(223t)</t>
  </si>
  <si>
    <t>機械損料</t>
  </si>
  <si>
    <t>損耗費</t>
  </si>
  <si>
    <t>諸雑費</t>
  </si>
  <si>
    <t>中央公園ファミリ−プール
受電設備保安点検
（電気事業法準拠）</t>
  </si>
  <si>
    <t>受電容量　５２５KVA</t>
  </si>
  <si>
    <t>中央公園芝生広場
受電設備保安点検
（電気事業法準拠）</t>
  </si>
  <si>
    <t>受電容量　１３０KVA</t>
  </si>
  <si>
    <t>中央公園堀川中継ポンプ
受電設備保安点検
（電気事業法準拠）</t>
  </si>
  <si>
    <t>受電容量　１５０KVA</t>
  </si>
  <si>
    <t>自家用電気工作物点検業務</t>
  </si>
  <si>
    <t>消防用設備等保守点検業務</t>
  </si>
  <si>
    <t>本業務は、中央公園ファミリープールの管理運営その他を委託し、円滑な運営と来園者サービスの提供を図るものである。</t>
  </si>
  <si>
    <t>日</t>
  </si>
  <si>
    <t>案内員Ａ（女性）</t>
  </si>
  <si>
    <t>案内員Ｂ</t>
  </si>
  <si>
    <t>案内員Ｂ（１人・１ポスト・１日当り）</t>
  </si>
  <si>
    <t>案内員Ａ（１人・１ポスト・１日当り）</t>
  </si>
  <si>
    <t>案内員Ａ</t>
  </si>
  <si>
    <t>管理員（１人・１ポスト・１日当り）</t>
  </si>
  <si>
    <t>管理員（男性１女性１）</t>
  </si>
  <si>
    <t>７／１～８／３１
（開園時間前後３０分）</t>
  </si>
  <si>
    <t>消防用設備等保守点検業務（消防法準拠）</t>
  </si>
  <si>
    <t>６か月毎</t>
  </si>
  <si>
    <t>１年毎（消防署報告要）</t>
  </si>
  <si>
    <t>交通誘導員Ｂ相当</t>
  </si>
  <si>
    <t>園内装飾・看板類設置
救護室準備</t>
  </si>
  <si>
    <t>園内装飾・看板類撤去
救護室整理収納</t>
  </si>
  <si>
    <t>業務金額</t>
  </si>
  <si>
    <t>７／１～８／３１</t>
  </si>
  <si>
    <t>業務名</t>
  </si>
  <si>
    <t>（甲）</t>
  </si>
  <si>
    <t>明細表</t>
  </si>
  <si>
    <t>内　訳</t>
  </si>
  <si>
    <t>一位代価表</t>
  </si>
  <si>
    <t>内　訳</t>
  </si>
  <si>
    <t>中区基町</t>
  </si>
  <si>
    <t>ポスト</t>
  </si>
  <si>
    <t>日</t>
  </si>
  <si>
    <t>８／１３～１６</t>
  </si>
  <si>
    <t>ポスト</t>
  </si>
  <si>
    <t>８／１３～１６</t>
  </si>
  <si>
    <t>８／１３～８／１６</t>
  </si>
  <si>
    <t>８／１３～８／１６</t>
  </si>
  <si>
    <t>７／２１～８／３１</t>
  </si>
  <si>
    <t xml:space="preserve">
</t>
  </si>
  <si>
    <t>ハイクロンＴ</t>
  </si>
  <si>
    <t>合　　計</t>
  </si>
  <si>
    <t>計</t>
  </si>
  <si>
    <t>ℓ</t>
  </si>
  <si>
    <t>タイヤ</t>
  </si>
  <si>
    <t>８：００～１７：００</t>
  </si>
  <si>
    <t>１７：００～１８：３０</t>
  </si>
  <si>
    <t>８：３０～１７：３０</t>
  </si>
  <si>
    <t>１７：３０～１８：３０</t>
  </si>
  <si>
    <t>１７：３０～１８：００</t>
  </si>
  <si>
    <t>９：００～１８：００</t>
  </si>
  <si>
    <t>８：３０～１７：１５</t>
  </si>
  <si>
    <t>0.32*1.2</t>
  </si>
  <si>
    <t>0.32*1.5</t>
  </si>
  <si>
    <t>　１ポスト×６２日</t>
  </si>
  <si>
    <t>―</t>
  </si>
  <si>
    <t>　２ポスト×　４日</t>
  </si>
  <si>
    <t>年当たり</t>
  </si>
  <si>
    <t>全期間の平日及び土曜日</t>
  </si>
  <si>
    <t>１ポスト×６２日</t>
  </si>
  <si>
    <t>２ポスト×　４日</t>
  </si>
  <si>
    <t>１ポスト×１３日</t>
  </si>
  <si>
    <t>２ポスト×４９日</t>
  </si>
  <si>
    <t>２ポスト×１９日</t>
  </si>
  <si>
    <t>２ポスト×　４日</t>
  </si>
  <si>
    <t>７／１～７／２０の土日祝日
及び７/２１～８/３１の全期間</t>
  </si>
  <si>
    <t>１ポスト×１４日</t>
  </si>
  <si>
    <t>２ポスト×４８日</t>
  </si>
  <si>
    <t>　３ポスト×６２日</t>
  </si>
  <si>
    <t>　９ポスト×　３日</t>
  </si>
  <si>
    <t>１２ポスト×３６日</t>
  </si>
  <si>
    <t>１３ポスト×１０日</t>
  </si>
  <si>
    <t>１５ポスト×３日
１６ポスト×１日</t>
  </si>
  <si>
    <t>　７／１～８／３１の日祝日</t>
  </si>
  <si>
    <t>１５ポスト×４日</t>
  </si>
  <si>
    <t>２ポスト×６２日</t>
  </si>
  <si>
    <t>１ポスト×１３日</t>
  </si>
  <si>
    <t>２ポスト×３９日</t>
  </si>
  <si>
    <t>３ポスト×１０日</t>
  </si>
  <si>
    <t>５ポスト×３日＋６ポスト×
１日</t>
  </si>
  <si>
    <t>１ポスト×１４日</t>
  </si>
  <si>
    <t>２ポスト×３８日</t>
  </si>
  <si>
    <t>５ポスト×４日</t>
  </si>
  <si>
    <t>１ポスト×１２日</t>
  </si>
  <si>
    <t>１ポスト×４日</t>
  </si>
  <si>
    <t>１ポスト×　４日</t>
  </si>
  <si>
    <t>１ポスト×４２日</t>
  </si>
  <si>
    <t>１ポスト×４３日</t>
  </si>
  <si>
    <t>１ポスト×２日＋２ポスト
×２日</t>
  </si>
  <si>
    <t>２階建て（２４㎡以上）
×２棟</t>
  </si>
  <si>
    <t>５ポスト×６２日</t>
  </si>
  <si>
    <t>洗剤・石鹸液・ゴミ袋等消耗品を含む（トイレットペーパーは支給とする）</t>
  </si>
  <si>
    <t>１人×９１日÷７×２</t>
  </si>
  <si>
    <t>１人×６２日</t>
  </si>
  <si>
    <t>１人×２１２日÷７</t>
  </si>
  <si>
    <t>（水質管理）７／１～８／３１</t>
  </si>
  <si>
    <t>（水中清掃）７／１～８／３１
（開園時間前後３０分）</t>
  </si>
  <si>
    <t>１ポスト×６２日</t>
  </si>
  <si>
    <t>２ポスト×６２日</t>
  </si>
  <si>
    <t>ＰＨ、残留塩素、大腸菌、一般細菌、過マンガン酸カリウム消費量、濁度</t>
  </si>
  <si>
    <t>１回／月</t>
  </si>
  <si>
    <t>水道法準拠２検体１項目
（１回／月）</t>
  </si>
  <si>
    <t>水道法準拠１１検体１項目
（１回／年）</t>
  </si>
  <si>
    <t>水道法準拠３検体１項目
（１回／月）</t>
  </si>
  <si>
    <t>４月、１０～３月
（１回／週）</t>
  </si>
  <si>
    <t>５月、６月、９月
（２回／週）</t>
  </si>
  <si>
    <t>三の丸（１か所）</t>
  </si>
  <si>
    <t>広島城跡天守閣、青少年集いの広場（２か所）</t>
  </si>
  <si>
    <t>徒渉池北側、芝生広場南側、芝生広場西側、広島城跡裏御門北、広島城跡堀北側（５か所）</t>
  </si>
  <si>
    <t>一般運転手</t>
  </si>
  <si>
    <t>タイヤ損耗費</t>
  </si>
  <si>
    <t>機器点検</t>
  </si>
  <si>
    <t>機器・総合点検</t>
  </si>
  <si>
    <t>（乙）</t>
  </si>
  <si>
    <t>監視員等教育業務</t>
  </si>
  <si>
    <t>３０時間</t>
  </si>
  <si>
    <t>１人当り単価</t>
  </si>
  <si>
    <t>監視員等教育</t>
  </si>
  <si>
    <t>教材等消耗品</t>
  </si>
  <si>
    <t>プール監視員・総合案内員・園内巡回員対象</t>
  </si>
  <si>
    <t>年</t>
  </si>
  <si>
    <t>〃</t>
  </si>
  <si>
    <t>総合運営管理業務</t>
  </si>
  <si>
    <t>総合案内業務</t>
  </si>
  <si>
    <t>園内巡回業務</t>
  </si>
  <si>
    <t>プール監視業務</t>
  </si>
  <si>
    <t>ロッカー管理業務</t>
  </si>
  <si>
    <t>入退園管理業務</t>
  </si>
  <si>
    <t>駐輪場管理業務</t>
  </si>
  <si>
    <t>救護業務</t>
  </si>
  <si>
    <t>園内清掃業務</t>
  </si>
  <si>
    <t>水質管理業務</t>
  </si>
  <si>
    <t>直接業務費計</t>
  </si>
  <si>
    <t>諸経費</t>
  </si>
  <si>
    <t>共通仮設費計</t>
  </si>
  <si>
    <t>純業務費計</t>
  </si>
  <si>
    <t>現場管理費</t>
  </si>
  <si>
    <t>業務価格</t>
  </si>
  <si>
    <t>←金抜き設計書は「1」を入力</t>
  </si>
  <si>
    <t>年度</t>
  </si>
  <si>
    <t>監視員等教育（１人当り）</t>
  </si>
  <si>
    <t>契約金額</t>
  </si>
  <si>
    <t>4～5月分</t>
  </si>
  <si>
    <t>6月分</t>
  </si>
  <si>
    <t>7月分</t>
  </si>
  <si>
    <t>8月分</t>
  </si>
  <si>
    <t>9月分</t>
  </si>
  <si>
    <t>10～12月分</t>
  </si>
  <si>
    <t xml:space="preserve"> 1～ 3月分</t>
  </si>
  <si>
    <t>支　払　金　額</t>
  </si>
  <si>
    <t>　　　内　　訳</t>
  </si>
  <si>
    <t>　８ポスト×１３日</t>
  </si>
  <si>
    <t>　８ポスト×１４日</t>
  </si>
  <si>
    <t>14,980ℓ→19,420ℓ→17,120ℓ→22,220ℓ→16,020ℓ</t>
  </si>
  <si>
    <t>3,690㎏→3,940㎏→3,970㎏→2,180kg→1,500kg</t>
  </si>
  <si>
    <t>25.9㎏→50.6㎏→29.6㎏→28.0kg→22.8kg</t>
  </si>
  <si>
    <t>薬剤等使用量実績（H17→H18→H19→H20→H21）</t>
  </si>
  <si>
    <t>２０ｇ錠剤</t>
  </si>
  <si>
    <r>
      <t>受電設備保守点検・ﾌｧﾐﾘｰﾌﾟｰﾙ・</t>
    </r>
    <r>
      <rPr>
        <sz val="9"/>
        <color indexed="10"/>
        <rFont val="ＭＳ ゴシック"/>
        <family val="3"/>
      </rPr>
      <t>見積</t>
    </r>
  </si>
  <si>
    <r>
      <t>受電設備保守点検・芝生広場・</t>
    </r>
    <r>
      <rPr>
        <sz val="9"/>
        <color indexed="10"/>
        <rFont val="ＭＳ ゴシック"/>
        <family val="3"/>
      </rPr>
      <t>見積</t>
    </r>
  </si>
  <si>
    <r>
      <t>受電設備保守点検・堀川中継ポンプ・</t>
    </r>
    <r>
      <rPr>
        <sz val="9"/>
        <color indexed="10"/>
        <rFont val="ＭＳ ゴシック"/>
        <family val="3"/>
      </rPr>
      <t>見積</t>
    </r>
  </si>
  <si>
    <r>
      <t>消防機器点検・6か月毎・</t>
    </r>
    <r>
      <rPr>
        <sz val="9"/>
        <color indexed="10"/>
        <rFont val="ＭＳ ゴシック"/>
        <family val="3"/>
      </rPr>
      <t>見積</t>
    </r>
  </si>
  <si>
    <r>
      <t>消防機器総合点検・1年毎・</t>
    </r>
    <r>
      <rPr>
        <sz val="9"/>
        <color indexed="10"/>
        <rFont val="ＭＳ ゴシック"/>
        <family val="3"/>
      </rPr>
      <t>見積</t>
    </r>
  </si>
  <si>
    <r>
      <t>管理棟借上げ費（２棟分１式）</t>
    </r>
    <r>
      <rPr>
        <sz val="9"/>
        <color indexed="10"/>
        <rFont val="ＭＳ ゴシック"/>
        <family val="3"/>
      </rPr>
      <t>見積</t>
    </r>
  </si>
  <si>
    <r>
      <t>業務職賃金（軽労働）・</t>
    </r>
    <r>
      <rPr>
        <sz val="9"/>
        <color indexed="10"/>
        <rFont val="ＭＳ ゴシック"/>
        <family val="3"/>
      </rPr>
      <t>給与課単価</t>
    </r>
  </si>
  <si>
    <r>
      <t>業務職賃金（中労働）・</t>
    </r>
    <r>
      <rPr>
        <sz val="9"/>
        <color indexed="10"/>
        <rFont val="ＭＳ ゴシック"/>
        <family val="3"/>
      </rPr>
      <t>給与課単価</t>
    </r>
  </si>
  <si>
    <r>
      <t>業務職賃金（重労働）・</t>
    </r>
    <r>
      <rPr>
        <sz val="9"/>
        <color indexed="10"/>
        <rFont val="ＭＳ ゴシック"/>
        <family val="3"/>
      </rPr>
      <t>給与課単価</t>
    </r>
  </si>
  <si>
    <r>
      <t>業務職賃金（清掃作業）・</t>
    </r>
    <r>
      <rPr>
        <sz val="9"/>
        <color indexed="10"/>
        <rFont val="ＭＳ ゴシック"/>
        <family val="3"/>
      </rPr>
      <t>給与課単価</t>
    </r>
  </si>
  <si>
    <r>
      <t>看護師賃金（病院外）・</t>
    </r>
    <r>
      <rPr>
        <sz val="9"/>
        <color indexed="10"/>
        <rFont val="ＭＳ ゴシック"/>
        <family val="3"/>
      </rPr>
      <t>給与課単価</t>
    </r>
  </si>
  <si>
    <r>
      <t>事務職賃金（内勤）・</t>
    </r>
    <r>
      <rPr>
        <sz val="9"/>
        <color indexed="10"/>
        <rFont val="ＭＳ ゴシック"/>
        <family val="3"/>
      </rPr>
      <t>給与課単価</t>
    </r>
  </si>
  <si>
    <r>
      <t>事務職賃金（外勤）・</t>
    </r>
    <r>
      <rPr>
        <sz val="9"/>
        <color indexed="10"/>
        <rFont val="ＭＳ ゴシック"/>
        <family val="3"/>
      </rPr>
      <t>給与課単価</t>
    </r>
  </si>
  <si>
    <r>
      <t>手当（交通費）・</t>
    </r>
    <r>
      <rPr>
        <sz val="9"/>
        <color indexed="10"/>
        <rFont val="ＭＳ ゴシック"/>
        <family val="3"/>
      </rPr>
      <t>給与課単価(18～22㎞)</t>
    </r>
  </si>
  <si>
    <t>機械損料・2tﾀﾞﾝﾌﾟ</t>
  </si>
  <si>
    <r>
      <t>ハイクロンＴ</t>
    </r>
    <r>
      <rPr>
        <sz val="9"/>
        <color indexed="10"/>
        <rFont val="ＭＳ ゴシック"/>
        <family val="3"/>
      </rPr>
      <t>見積</t>
    </r>
  </si>
  <si>
    <r>
      <t>次亜塩素酸ソーダ</t>
    </r>
    <r>
      <rPr>
        <sz val="8"/>
        <rFont val="ＭＳ ゴシック"/>
        <family val="3"/>
      </rPr>
      <t>（有効濃度１２％以上）</t>
    </r>
    <r>
      <rPr>
        <sz val="9"/>
        <color indexed="10"/>
        <rFont val="ＭＳ ゴシック"/>
        <family val="3"/>
      </rPr>
      <t>見積</t>
    </r>
  </si>
  <si>
    <r>
      <t>セライト珪藻土</t>
    </r>
    <r>
      <rPr>
        <sz val="9"/>
        <color indexed="10"/>
        <rFont val="ＭＳ ゴシック"/>
        <family val="3"/>
      </rPr>
      <t>見積</t>
    </r>
  </si>
  <si>
    <t>比重１．２</t>
  </si>
  <si>
    <t>公園便所清掃業務</t>
  </si>
  <si>
    <t>公園便所清掃１</t>
  </si>
  <si>
    <t>公園便所清掃２</t>
  </si>
  <si>
    <t>　　　〃</t>
  </si>
  <si>
    <t>毎日・１０～３０㎡
（公園便所Ａ）</t>
  </si>
  <si>
    <t>毎日・３０㎡以上
（公園便所Ａ）</t>
  </si>
  <si>
    <t>週３回・１０～３０㎡
（公園便所Ｂ）</t>
  </si>
  <si>
    <r>
      <t>水質検査　濁度　</t>
    </r>
    <r>
      <rPr>
        <sz val="9"/>
        <color indexed="10"/>
        <rFont val="ＭＳ ゴシック"/>
        <family val="3"/>
      </rPr>
      <t>見積</t>
    </r>
  </si>
  <si>
    <r>
      <t>水質検査　ＰＨ･濁度･大腸菌･一般細菌･
　　　　　過マンガン･残留塩素
　　　　　</t>
    </r>
    <r>
      <rPr>
        <sz val="9"/>
        <color indexed="10"/>
        <rFont val="ＭＳ ゴシック"/>
        <family val="3"/>
      </rPr>
      <t>見積</t>
    </r>
  </si>
  <si>
    <r>
      <t>水質検査　トリハロメタン　</t>
    </r>
    <r>
      <rPr>
        <sz val="9"/>
        <color indexed="10"/>
        <rFont val="ＭＳ ゴシック"/>
        <family val="3"/>
      </rPr>
      <t>見積</t>
    </r>
  </si>
  <si>
    <r>
      <t>水質検査　レジオネラ属菌　</t>
    </r>
    <r>
      <rPr>
        <sz val="10"/>
        <color indexed="10"/>
        <rFont val="ＭＳ ゴシック"/>
        <family val="3"/>
      </rPr>
      <t>見積</t>
    </r>
  </si>
  <si>
    <t>平成２６年</t>
  </si>
  <si>
    <t>平成２７年</t>
  </si>
  <si>
    <t>平成２８年</t>
  </si>
  <si>
    <t>経営企画課</t>
  </si>
  <si>
    <r>
      <rPr>
        <sz val="20"/>
        <rFont val="ＭＳ ゴシック"/>
        <family val="3"/>
      </rPr>
      <t>委 　託 　設 　計 　書</t>
    </r>
    <r>
      <rPr>
        <sz val="18"/>
        <rFont val="ＭＳ ゴシック"/>
        <family val="3"/>
      </rPr>
      <t xml:space="preserve">
</t>
    </r>
    <r>
      <rPr>
        <sz val="12"/>
        <rFont val="ＭＳ ゴシック"/>
        <family val="3"/>
      </rPr>
      <t>（公益財団法人　広島市みどり生きもの協会）</t>
    </r>
  </si>
  <si>
    <t>平成２９年</t>
  </si>
  <si>
    <t>１２ポスト×３５日</t>
  </si>
  <si>
    <t>１ポスト×４３日</t>
  </si>
  <si>
    <t>２ポスト×１９日</t>
  </si>
  <si>
    <t>１ポスト×３日＋２ポスト
×1日</t>
  </si>
  <si>
    <t>平成26年度</t>
  </si>
  <si>
    <t>平成27年度～平成29年度</t>
  </si>
  <si>
    <t>平成26年度・平成29年度</t>
  </si>
  <si>
    <t>平成27年度・平成28年度</t>
  </si>
  <si>
    <t>園内巡回業務（平成26年度）</t>
  </si>
  <si>
    <t>プール監視業務（平成26年度）</t>
  </si>
  <si>
    <t>プール監視業務（平成27年度～平成29年度）</t>
  </si>
  <si>
    <t>入退園管理業務（平成26年度）</t>
  </si>
  <si>
    <t>入退園管理業務（平成27年度～平成29年度）</t>
  </si>
  <si>
    <t>駐輪場管理業務（平成26年度）</t>
  </si>
  <si>
    <t>救護業務（平成26年度・平成29年度）</t>
  </si>
  <si>
    <t>救護業務（平成27年度・平成28年度）</t>
  </si>
  <si>
    <t>単価：白地　改定後</t>
  </si>
  <si>
    <t>収益事業等会計</t>
  </si>
  <si>
    <t>事業費</t>
  </si>
  <si>
    <t>中央公園事業費</t>
  </si>
  <si>
    <t>平成27年度</t>
  </si>
  <si>
    <t>平成26年度・平成28年度・平成29年度</t>
  </si>
  <si>
    <t>公園便所清掃業務（平成26年度・平成28年度・平成29年度）</t>
  </si>
  <si>
    <t>公園便所清掃業務（平成27年度）</t>
  </si>
  <si>
    <t>H22 14030 2430 23.58</t>
  </si>
  <si>
    <t>H24 17620 4790 27.72</t>
  </si>
  <si>
    <t>H23 19510 2060 25.62</t>
  </si>
  <si>
    <t>H20-H24</t>
  </si>
  <si>
    <t>総合運営管理業務（平成26年度・平成29年度）</t>
  </si>
  <si>
    <t>総合運営管理業務（平成27年度・平成28年度）</t>
  </si>
  <si>
    <t>〃</t>
  </si>
  <si>
    <t>平成26年度・平成29年度</t>
  </si>
  <si>
    <t>平成27年度・平成28年度</t>
  </si>
  <si>
    <t>　２ポスト×１８日</t>
  </si>
  <si>
    <t>　２ポスト×１７日</t>
  </si>
  <si>
    <t>総合案内業務（平成26年度・平成29年度）</t>
  </si>
  <si>
    <t>平成27年度～平成28年度</t>
  </si>
  <si>
    <t>２ポスト×８日
＋３ポスト×１０日</t>
  </si>
  <si>
    <t>総合案内業務（平成27年度～平成28年度）</t>
  </si>
  <si>
    <t>　２ポスト×８日
＋３ポスト×９日</t>
  </si>
  <si>
    <t>　２ポスト×３日
＋３ポスト×１日</t>
  </si>
  <si>
    <t>２ポスト×１８日</t>
  </si>
  <si>
    <t>園内巡回業務（平成27年度～平成28年度）</t>
  </si>
  <si>
    <t>２ポスト×１７日</t>
  </si>
  <si>
    <t>平成29年度</t>
  </si>
  <si>
    <t>２ポスト×１８日</t>
  </si>
  <si>
    <t>園内巡回業務（平成29年度）</t>
  </si>
  <si>
    <t>１２ポスト×３日＋１５ポスト×５日＋１６ポスト×１０日</t>
  </si>
  <si>
    <t>１２ポスト×３日＋１５ポスト×５日＋１６ポスト×９日</t>
  </si>
  <si>
    <t>ロッカー管理業務（平成26年度・平成29年度）</t>
  </si>
  <si>
    <t>ロッカー管理業務（平成27年度・平成28年度）</t>
  </si>
  <si>
    <t>４ポスト×３日＋５ポスト×５日＋６ポスト×１０日</t>
  </si>
  <si>
    <t>４ポスト×３日＋５ポスト×６日＋６ポスト×９日</t>
  </si>
  <si>
    <t>１ポスト×１０日</t>
  </si>
  <si>
    <t>駐輪場管理業務（平成27年度～平成2８年度）</t>
  </si>
  <si>
    <t>駐輪場管理業務（平成29年度）</t>
  </si>
  <si>
    <t>１ポスト×１１日</t>
  </si>
  <si>
    <t>２ポスト×１７日</t>
  </si>
  <si>
    <t>園内清掃業務（平成26年度・平成29年度）</t>
  </si>
  <si>
    <t>２ポスト×１８日</t>
  </si>
  <si>
    <t>園内清掃業務（平成27年度・平成28年度）</t>
  </si>
  <si>
    <t>１ポスト×１８日</t>
  </si>
  <si>
    <t>水質管理業務（平成27年度・平成28年度）</t>
  </si>
  <si>
    <t>１ポスト×１７日</t>
  </si>
  <si>
    <t>年</t>
  </si>
  <si>
    <t>1ﾎﾟｽﾄ×14日+2ﾎﾟｽﾄ×3日+
2ﾎﾟｽt×29日+2ﾎﾟｽﾄ×6日</t>
  </si>
  <si>
    <t>平成26年度</t>
  </si>
  <si>
    <t>平成27年度</t>
  </si>
  <si>
    <t>平成28年度</t>
  </si>
  <si>
    <t>平成29年度</t>
  </si>
  <si>
    <t>　業務完了報告書提出後、乙の請求のあった日から３０日以内に下記のとおり支払うものとする。
　なお、発注者は口座振込の方法により支払を行なう場合においては、請求金額から振込手数料を差引いて受注者に支払うものとする。</t>
  </si>
  <si>
    <t>(単位：円）</t>
  </si>
  <si>
    <t>（　別　紙　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</si>
</sst>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/&quot;#,##0.00"/>
    <numFmt numFmtId="177" formatCode="#,##0_ ;[Red]\-#,##0\ "/>
    <numFmt numFmtId="178" formatCode="m&quot;月&quot;d&quot;日（&quot;ddd&quot;）&quot;"/>
    <numFmt numFmtId="179" formatCode="0_);[Red]\(0\)"/>
    <numFmt numFmtId="180" formatCode="0.00000000000_);[Red]\(0.00000000000\)"/>
    <numFmt numFmtId="181" formatCode="#,##0.00_ ;[Red]\-#,##0.00\ "/>
    <numFmt numFmtId="182" formatCode="#,##0_ "/>
    <numFmt numFmtId="183" formatCode="#,##0.00_ "/>
    <numFmt numFmtId="184" formatCode="&quot;¥&quot;#,##0_);[Red]\(&quot;¥&quot;#,##0\)"/>
    <numFmt numFmtId="185" formatCode="#,##0.0000000000000;[Red]\-#,##0.0000000000000"/>
    <numFmt numFmtId="186" formatCode="#,##0.0"/>
    <numFmt numFmtId="187" formatCode="&quot;第&quot;\ 0\ &quot;号&quot;"/>
    <numFmt numFmtId="188" formatCode="&quot;日祝＝&quot;0&quot;日&quot;"/>
    <numFmt numFmtId="189" formatCode="&quot;全期間＝&quot;0&quot;日&quot;"/>
    <numFmt numFmtId="190" formatCode="&quot;土曜＝&quot;0&quot;日&quot;"/>
    <numFmt numFmtId="191" formatCode="&quot;7/1-20平日＝&quot;0&quot;日&quot;"/>
    <numFmt numFmtId="192" formatCode="&quot;7/21- 平日＝&quot;0&quot;日&quot;"/>
    <numFmt numFmtId="193" formatCode="&quot;8/13-16お盆＝&quot;0&quot;日&quot;"/>
    <numFmt numFmtId="194" formatCode="&quot;お盆 平日＝&quot;0&quot;日&quot;"/>
    <numFmt numFmtId="195" formatCode="&quot;お盆 平・土＝&quot;0&quot;日&quot;"/>
    <numFmt numFmtId="196" formatCode="&quot;お盆 日曜＝&quot;0&quot;日&quot;"/>
    <numFmt numFmtId="197" formatCode="&quot;7/1-20土曜＝&quot;0&quot;日&quot;"/>
    <numFmt numFmtId="198" formatCode="&quot;7/21- 土曜＝&quot;0&quot;日&quot;"/>
    <numFmt numFmtId="199" formatCode="&quot;第&quot;\ 0\ &quot;号代価表参照&quot;\ "/>
    <numFmt numFmtId="200" formatCode="#,##0_);[Red]\(#,##0\)"/>
    <numFmt numFmtId="201" formatCode="&quot;第&quot;\ 0\ &quot;号明細表参照&quot;\ "/>
    <numFmt numFmtId="202" formatCode="#,##0.000;\-#,##0.000"/>
    <numFmt numFmtId="203" formatCode="0.000"/>
    <numFmt numFmtId="204" formatCode="#,##0.0000_ "/>
    <numFmt numFmtId="205" formatCode="0.0000000000_);[Red]\(0.0000000000\)"/>
    <numFmt numFmtId="206" formatCode="#,##0\ℓ;\-#,##0\ℓ"/>
    <numFmt numFmtId="207" formatCode="#,##0&quot;㎏&quot;"/>
    <numFmt numFmtId="208" formatCode="0.000%"/>
    <numFmt numFmtId="209" formatCode="0.0%"/>
  </numFmts>
  <fonts count="67">
    <font>
      <sz val="9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i/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sz val="14"/>
      <color rgb="FFFF0000"/>
      <name val="ＭＳ 明朝"/>
      <family val="1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double"/>
    </border>
    <border>
      <left/>
      <right style="thin"/>
      <top style="dotted"/>
      <bottom style="dotted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0" fontId="61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2" fontId="3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8" fontId="10" fillId="0" borderId="13" xfId="48" applyFont="1" applyBorder="1" applyAlignment="1">
      <alignment vertical="center"/>
    </xf>
    <xf numFmtId="0" fontId="12" fillId="0" borderId="18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right"/>
      <protection locked="0"/>
    </xf>
    <xf numFmtId="0" fontId="9" fillId="0" borderId="24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 horizontal="right"/>
      <protection locked="0"/>
    </xf>
    <xf numFmtId="42" fontId="9" fillId="0" borderId="17" xfId="0" applyNumberFormat="1" applyFont="1" applyBorder="1" applyAlignment="1" applyProtection="1">
      <alignment horizontal="right"/>
      <protection locked="0"/>
    </xf>
    <xf numFmtId="42" fontId="9" fillId="0" borderId="17" xfId="0" applyNumberFormat="1" applyFont="1" applyBorder="1" applyAlignment="1" applyProtection="1">
      <alignment horizontal="center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2" fillId="0" borderId="24" xfId="0" applyFont="1" applyBorder="1" applyAlignment="1" applyProtection="1">
      <alignment/>
      <protection locked="0"/>
    </xf>
    <xf numFmtId="41" fontId="9" fillId="0" borderId="17" xfId="0" applyNumberFormat="1" applyFont="1" applyBorder="1" applyAlignment="1" applyProtection="1">
      <alignment/>
      <protection locked="0"/>
    </xf>
    <xf numFmtId="41" fontId="9" fillId="0" borderId="17" xfId="0" applyNumberFormat="1" applyFont="1" applyBorder="1" applyAlignment="1" applyProtection="1">
      <alignment horizontal="right"/>
      <protection locked="0"/>
    </xf>
    <xf numFmtId="41" fontId="9" fillId="0" borderId="0" xfId="0" applyNumberFormat="1" applyFont="1" applyFill="1" applyAlignment="1" applyProtection="1">
      <alignment/>
      <protection locked="0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13" xfId="0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 horizontal="left" vertical="top"/>
    </xf>
    <xf numFmtId="0" fontId="10" fillId="0" borderId="20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center" vertical="center"/>
    </xf>
    <xf numFmtId="40" fontId="9" fillId="0" borderId="11" xfId="48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25" xfId="0" applyFont="1" applyFill="1" applyBorder="1" applyAlignment="1">
      <alignment horizontal="left" vertical="top"/>
    </xf>
    <xf numFmtId="0" fontId="9" fillId="0" borderId="26" xfId="0" applyFont="1" applyBorder="1" applyAlignment="1">
      <alignment/>
    </xf>
    <xf numFmtId="0" fontId="9" fillId="0" borderId="26" xfId="0" applyFont="1" applyFill="1" applyBorder="1" applyAlignment="1">
      <alignment horizontal="left" vertical="top"/>
    </xf>
    <xf numFmtId="40" fontId="9" fillId="0" borderId="26" xfId="48" applyNumberFormat="1" applyFont="1" applyFill="1" applyBorder="1" applyAlignment="1">
      <alignment horizontal="left" vertical="top"/>
    </xf>
    <xf numFmtId="0" fontId="9" fillId="0" borderId="27" xfId="0" applyFont="1" applyBorder="1" applyAlignment="1">
      <alignment/>
    </xf>
    <xf numFmtId="6" fontId="9" fillId="0" borderId="18" xfId="57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9" xfId="0" applyFont="1" applyBorder="1" applyAlignment="1">
      <alignment/>
    </xf>
    <xf numFmtId="38" fontId="9" fillId="0" borderId="0" xfId="48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Continuous" vertical="top"/>
    </xf>
    <xf numFmtId="0" fontId="9" fillId="0" borderId="30" xfId="0" applyFont="1" applyFill="1" applyBorder="1" applyAlignment="1">
      <alignment horizontal="left" vertical="top"/>
    </xf>
    <xf numFmtId="0" fontId="9" fillId="0" borderId="31" xfId="0" applyFont="1" applyFill="1" applyBorder="1" applyAlignment="1">
      <alignment horizontal="left" vertical="top"/>
    </xf>
    <xf numFmtId="40" fontId="9" fillId="0" borderId="31" xfId="48" applyNumberFormat="1" applyFont="1" applyFill="1" applyBorder="1" applyAlignment="1">
      <alignment horizontal="left" vertical="top"/>
    </xf>
    <xf numFmtId="6" fontId="9" fillId="0" borderId="31" xfId="57" applyFont="1" applyFill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0" borderId="33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40" fontId="10" fillId="0" borderId="36" xfId="48" applyNumberFormat="1" applyFont="1" applyFill="1" applyBorder="1" applyAlignment="1">
      <alignment horizontal="right"/>
    </xf>
    <xf numFmtId="6" fontId="10" fillId="0" borderId="37" xfId="57" applyFont="1" applyFill="1" applyBorder="1" applyAlignment="1">
      <alignment horizontal="right"/>
    </xf>
    <xf numFmtId="0" fontId="10" fillId="0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8" xfId="0" applyFont="1" applyFill="1" applyBorder="1" applyAlignment="1">
      <alignment vertical="top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0" fontId="9" fillId="0" borderId="23" xfId="48" applyNumberFormat="1" applyFont="1" applyFill="1" applyBorder="1" applyAlignment="1">
      <alignment horizontal="right"/>
    </xf>
    <xf numFmtId="6" fontId="9" fillId="0" borderId="10" xfId="57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6" fontId="9" fillId="0" borderId="0" xfId="57" applyFont="1" applyFill="1" applyBorder="1" applyAlignment="1">
      <alignment horizontal="center"/>
    </xf>
    <xf numFmtId="6" fontId="9" fillId="0" borderId="0" xfId="57" applyFont="1" applyFill="1" applyBorder="1" applyAlignment="1">
      <alignment/>
    </xf>
    <xf numFmtId="6" fontId="9" fillId="0" borderId="0" xfId="57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2" fontId="17" fillId="0" borderId="0" xfId="48" applyNumberFormat="1" applyFont="1" applyFill="1" applyBorder="1" applyAlignment="1">
      <alignment horizontal="right"/>
    </xf>
    <xf numFmtId="6" fontId="19" fillId="0" borderId="12" xfId="48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6" fontId="19" fillId="0" borderId="12" xfId="48" applyNumberFormat="1" applyFont="1" applyBorder="1" applyAlignment="1">
      <alignment horizontal="right"/>
    </xf>
    <xf numFmtId="42" fontId="17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42" fontId="17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184" fontId="9" fillId="0" borderId="0" xfId="0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84" fontId="9" fillId="0" borderId="0" xfId="0" applyNumberFormat="1" applyFont="1" applyAlignment="1">
      <alignment/>
    </xf>
    <xf numFmtId="42" fontId="9" fillId="0" borderId="12" xfId="0" applyNumberFormat="1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2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right"/>
    </xf>
    <xf numFmtId="42" fontId="17" fillId="0" borderId="0" xfId="57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42" fontId="17" fillId="0" borderId="0" xfId="57" applyNumberFormat="1" applyFont="1" applyFill="1" applyBorder="1" applyAlignment="1">
      <alignment horizontal="right"/>
    </xf>
    <xf numFmtId="0" fontId="9" fillId="0" borderId="19" xfId="0" applyFont="1" applyBorder="1" applyAlignment="1">
      <alignment/>
    </xf>
    <xf numFmtId="0" fontId="17" fillId="0" borderId="12" xfId="0" applyFont="1" applyBorder="1" applyAlignment="1">
      <alignment/>
    </xf>
    <xf numFmtId="42" fontId="9" fillId="0" borderId="0" xfId="0" applyNumberFormat="1" applyFont="1" applyBorder="1" applyAlignment="1">
      <alignment/>
    </xf>
    <xf numFmtId="0" fontId="17" fillId="0" borderId="12" xfId="0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42" fontId="1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9" fillId="0" borderId="16" xfId="0" applyFont="1" applyBorder="1" applyAlignment="1">
      <alignment horizontal="right"/>
    </xf>
    <xf numFmtId="42" fontId="17" fillId="0" borderId="16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87" fontId="10" fillId="0" borderId="1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right"/>
    </xf>
    <xf numFmtId="4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41" fontId="9" fillId="0" borderId="17" xfId="0" applyNumberFormat="1" applyFont="1" applyBorder="1" applyAlignment="1">
      <alignment horizontal="right"/>
    </xf>
    <xf numFmtId="9" fontId="9" fillId="0" borderId="17" xfId="42" applyFont="1" applyBorder="1" applyAlignment="1">
      <alignment horizontal="center"/>
    </xf>
    <xf numFmtId="42" fontId="9" fillId="0" borderId="17" xfId="0" applyNumberFormat="1" applyFont="1" applyBorder="1" applyAlignment="1">
      <alignment horizontal="center"/>
    </xf>
    <xf numFmtId="42" fontId="9" fillId="0" borderId="17" xfId="0" applyNumberFormat="1" applyFont="1" applyBorder="1" applyAlignment="1">
      <alignment horizontal="right"/>
    </xf>
    <xf numFmtId="9" fontId="9" fillId="0" borderId="17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center" wrapText="1" shrinkToFit="1"/>
    </xf>
    <xf numFmtId="0" fontId="9" fillId="0" borderId="17" xfId="0" applyFont="1" applyBorder="1" applyAlignment="1">
      <alignment horizontal="center" shrinkToFit="1"/>
    </xf>
    <xf numFmtId="0" fontId="20" fillId="0" borderId="17" xfId="0" applyFont="1" applyBorder="1" applyAlignment="1">
      <alignment horizontal="center" wrapText="1"/>
    </xf>
    <xf numFmtId="40" fontId="9" fillId="0" borderId="17" xfId="48" applyNumberFormat="1" applyFont="1" applyBorder="1" applyAlignment="1">
      <alignment horizontal="right"/>
    </xf>
    <xf numFmtId="41" fontId="9" fillId="0" borderId="17" xfId="0" applyNumberFormat="1" applyFont="1" applyFill="1" applyBorder="1" applyAlignment="1">
      <alignment horizontal="right"/>
    </xf>
    <xf numFmtId="0" fontId="10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wrapText="1"/>
    </xf>
    <xf numFmtId="41" fontId="9" fillId="0" borderId="17" xfId="57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20" fillId="0" borderId="17" xfId="0" applyFont="1" applyBorder="1" applyAlignment="1">
      <alignment/>
    </xf>
    <xf numFmtId="6" fontId="9" fillId="0" borderId="17" xfId="57" applyFont="1" applyBorder="1" applyAlignment="1">
      <alignment horizontal="left"/>
    </xf>
    <xf numFmtId="0" fontId="9" fillId="0" borderId="17" xfId="0" applyFont="1" applyFill="1" applyBorder="1" applyAlignment="1">
      <alignment/>
    </xf>
    <xf numFmtId="42" fontId="9" fillId="0" borderId="0" xfId="0" applyNumberFormat="1" applyFont="1" applyAlignment="1">
      <alignment horizontal="right"/>
    </xf>
    <xf numFmtId="0" fontId="9" fillId="0" borderId="17" xfId="0" applyFont="1" applyBorder="1" applyAlignment="1">
      <alignment vertical="center" wrapText="1"/>
    </xf>
    <xf numFmtId="0" fontId="17" fillId="0" borderId="17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41" fontId="9" fillId="0" borderId="17" xfId="57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13" fillId="0" borderId="0" xfId="61" applyNumberFormat="1" applyFont="1" applyAlignment="1" applyProtection="1">
      <alignment/>
      <protection locked="0"/>
    </xf>
    <xf numFmtId="0" fontId="13" fillId="0" borderId="0" xfId="61" applyNumberFormat="1" applyFont="1" applyAlignment="1">
      <alignment vertical="center"/>
      <protection/>
    </xf>
    <xf numFmtId="187" fontId="10" fillId="0" borderId="13" xfId="0" applyNumberFormat="1" applyFont="1" applyBorder="1" applyAlignment="1">
      <alignment/>
    </xf>
    <xf numFmtId="187" fontId="10" fillId="0" borderId="24" xfId="0" applyNumberFormat="1" applyFont="1" applyBorder="1" applyAlignment="1">
      <alignment/>
    </xf>
    <xf numFmtId="0" fontId="13" fillId="0" borderId="39" xfId="61" applyNumberFormat="1" applyFont="1" applyBorder="1" applyAlignment="1">
      <alignment vertical="center"/>
      <protection/>
    </xf>
    <xf numFmtId="0" fontId="13" fillId="0" borderId="39" xfId="61" applyNumberFormat="1" applyFont="1" applyBorder="1" applyAlignment="1">
      <alignment horizontal="right" vertical="center"/>
      <protection/>
    </xf>
    <xf numFmtId="0" fontId="13" fillId="0" borderId="40" xfId="61" applyNumberFormat="1" applyFont="1" applyBorder="1" applyAlignment="1">
      <alignment horizontal="left" vertical="center"/>
      <protection/>
    </xf>
    <xf numFmtId="0" fontId="13" fillId="0" borderId="0" xfId="61" applyNumberFormat="1" applyFont="1" applyBorder="1" applyAlignment="1">
      <alignment vertical="center"/>
      <protection/>
    </xf>
    <xf numFmtId="0" fontId="13" fillId="0" borderId="41" xfId="61" applyNumberFormat="1" applyFont="1" applyBorder="1" applyAlignment="1">
      <alignment vertical="center"/>
      <protection/>
    </xf>
    <xf numFmtId="0" fontId="13" fillId="0" borderId="42" xfId="61" applyNumberFormat="1" applyFont="1" applyBorder="1" applyAlignment="1">
      <alignment vertical="center"/>
      <protection/>
    </xf>
    <xf numFmtId="0" fontId="13" fillId="0" borderId="42" xfId="61" applyNumberFormat="1" applyFont="1" applyBorder="1" applyAlignment="1">
      <alignment horizontal="left" vertical="center"/>
      <protection/>
    </xf>
    <xf numFmtId="0" fontId="13" fillId="0" borderId="43" xfId="61" applyNumberFormat="1" applyFont="1" applyBorder="1" applyAlignment="1">
      <alignment vertical="center"/>
      <protection/>
    </xf>
    <xf numFmtId="0" fontId="13" fillId="0" borderId="41" xfId="61" applyNumberFormat="1" applyFont="1" applyBorder="1" applyAlignment="1">
      <alignment horizontal="center" vertical="center"/>
      <protection/>
    </xf>
    <xf numFmtId="0" fontId="13" fillId="0" borderId="44" xfId="61" applyNumberFormat="1" applyFont="1" applyBorder="1" applyAlignment="1">
      <alignment horizontal="center" vertical="center"/>
      <protection/>
    </xf>
    <xf numFmtId="0" fontId="13" fillId="0" borderId="45" xfId="61" applyNumberFormat="1" applyFont="1" applyBorder="1" applyAlignment="1">
      <alignment/>
      <protection/>
    </xf>
    <xf numFmtId="0" fontId="13" fillId="0" borderId="46" xfId="61" applyNumberFormat="1" applyFont="1" applyBorder="1" applyAlignment="1">
      <alignment/>
      <protection/>
    </xf>
    <xf numFmtId="0" fontId="13" fillId="0" borderId="45" xfId="61" applyNumberFormat="1" applyFont="1" applyBorder="1" applyAlignment="1">
      <alignment horizontal="center"/>
      <protection/>
    </xf>
    <xf numFmtId="4" fontId="13" fillId="0" borderId="45" xfId="61" applyNumberFormat="1" applyFont="1" applyBorder="1" applyAlignment="1">
      <alignment/>
      <protection/>
    </xf>
    <xf numFmtId="3" fontId="13" fillId="0" borderId="45" xfId="60" applyFont="1" applyBorder="1" applyAlignment="1">
      <alignment horizontal="right"/>
      <protection/>
    </xf>
    <xf numFmtId="3" fontId="13" fillId="0" borderId="45" xfId="61" applyFont="1" applyBorder="1" applyAlignment="1">
      <alignment/>
      <protection/>
    </xf>
    <xf numFmtId="0" fontId="13" fillId="0" borderId="47" xfId="61" applyNumberFormat="1" applyFont="1" applyBorder="1" applyAlignment="1">
      <alignment/>
      <protection/>
    </xf>
    <xf numFmtId="0" fontId="13" fillId="0" borderId="0" xfId="61" applyNumberFormat="1" applyFont="1" applyBorder="1">
      <alignment/>
      <protection/>
    </xf>
    <xf numFmtId="3" fontId="13" fillId="0" borderId="0" xfId="61" applyFont="1" applyBorder="1">
      <alignment/>
      <protection/>
    </xf>
    <xf numFmtId="0" fontId="13" fillId="0" borderId="48" xfId="61" applyNumberFormat="1" applyFont="1" applyBorder="1" applyAlignment="1">
      <alignment/>
      <protection/>
    </xf>
    <xf numFmtId="0" fontId="13" fillId="0" borderId="0" xfId="61" applyNumberFormat="1" applyFont="1" applyBorder="1" applyAlignment="1">
      <alignment/>
      <protection/>
    </xf>
    <xf numFmtId="0" fontId="13" fillId="0" borderId="48" xfId="61" applyNumberFormat="1" applyFont="1" applyBorder="1" applyAlignment="1">
      <alignment horizontal="center"/>
      <protection/>
    </xf>
    <xf numFmtId="4" fontId="13" fillId="0" borderId="48" xfId="61" applyNumberFormat="1" applyFont="1" applyBorder="1" applyAlignment="1">
      <alignment/>
      <protection/>
    </xf>
    <xf numFmtId="3" fontId="13" fillId="0" borderId="48" xfId="60" applyFont="1" applyBorder="1" applyAlignment="1">
      <alignment horizontal="right"/>
      <protection/>
    </xf>
    <xf numFmtId="3" fontId="13" fillId="0" borderId="48" xfId="61" applyFont="1" applyBorder="1" applyAlignment="1">
      <alignment/>
      <protection/>
    </xf>
    <xf numFmtId="0" fontId="13" fillId="0" borderId="49" xfId="61" applyNumberFormat="1" applyFont="1" applyBorder="1" applyAlignment="1">
      <alignment/>
      <protection/>
    </xf>
    <xf numFmtId="0" fontId="13" fillId="0" borderId="41" xfId="61" applyNumberFormat="1" applyFont="1" applyBorder="1" applyAlignment="1">
      <alignment/>
      <protection/>
    </xf>
    <xf numFmtId="0" fontId="13" fillId="0" borderId="42" xfId="61" applyNumberFormat="1" applyFont="1" applyBorder="1" applyAlignment="1">
      <alignment/>
      <protection/>
    </xf>
    <xf numFmtId="0" fontId="13" fillId="0" borderId="41" xfId="61" applyNumberFormat="1" applyFont="1" applyBorder="1" applyAlignment="1">
      <alignment horizontal="center"/>
      <protection/>
    </xf>
    <xf numFmtId="4" fontId="13" fillId="0" borderId="41" xfId="61" applyNumberFormat="1" applyFont="1" applyBorder="1" applyAlignment="1">
      <alignment/>
      <protection/>
    </xf>
    <xf numFmtId="3" fontId="13" fillId="0" borderId="41" xfId="61" applyFont="1" applyBorder="1" applyAlignment="1">
      <alignment/>
      <protection/>
    </xf>
    <xf numFmtId="0" fontId="13" fillId="0" borderId="44" xfId="61" applyNumberFormat="1" applyFont="1" applyBorder="1" applyAlignment="1">
      <alignment/>
      <protection/>
    </xf>
    <xf numFmtId="3" fontId="13" fillId="0" borderId="48" xfId="61" applyFont="1" applyBorder="1" applyAlignment="1">
      <alignment horizontal="center"/>
      <protection/>
    </xf>
    <xf numFmtId="0" fontId="13" fillId="0" borderId="42" xfId="61" applyNumberFormat="1" applyFont="1" applyBorder="1">
      <alignment/>
      <protection/>
    </xf>
    <xf numFmtId="186" fontId="13" fillId="0" borderId="48" xfId="61" applyNumberFormat="1" applyFont="1" applyBorder="1" applyAlignment="1">
      <alignment horizontal="left"/>
      <protection/>
    </xf>
    <xf numFmtId="186" fontId="13" fillId="0" borderId="49" xfId="61" applyNumberFormat="1" applyFont="1" applyBorder="1" applyAlignment="1">
      <alignment/>
      <protection/>
    </xf>
    <xf numFmtId="3" fontId="13" fillId="0" borderId="41" xfId="61" applyFont="1" applyBorder="1" applyAlignment="1">
      <alignment horizontal="left"/>
      <protection/>
    </xf>
    <xf numFmtId="0" fontId="13" fillId="0" borderId="41" xfId="61" applyNumberFormat="1" applyFont="1" applyBorder="1" applyAlignment="1" applyProtection="1">
      <alignment/>
      <protection locked="0"/>
    </xf>
    <xf numFmtId="0" fontId="13" fillId="0" borderId="42" xfId="61" applyNumberFormat="1" applyFont="1" applyBorder="1" applyAlignment="1" applyProtection="1">
      <alignment/>
      <protection locked="0"/>
    </xf>
    <xf numFmtId="0" fontId="13" fillId="0" borderId="44" xfId="61" applyNumberFormat="1" applyFont="1" applyBorder="1" applyAlignment="1" applyProtection="1">
      <alignment/>
      <protection locked="0"/>
    </xf>
    <xf numFmtId="0" fontId="13" fillId="0" borderId="43" xfId="61" applyNumberFormat="1" applyFont="1" applyBorder="1" applyAlignment="1" applyProtection="1">
      <alignment/>
      <protection locked="0"/>
    </xf>
    <xf numFmtId="0" fontId="13" fillId="0" borderId="50" xfId="61" applyNumberFormat="1" applyFont="1" applyBorder="1" applyAlignment="1" applyProtection="1">
      <alignment/>
      <protection locked="0"/>
    </xf>
    <xf numFmtId="0" fontId="13" fillId="0" borderId="51" xfId="61" applyNumberFormat="1" applyFont="1" applyBorder="1" applyAlignment="1" applyProtection="1">
      <alignment/>
      <protection locked="0"/>
    </xf>
    <xf numFmtId="0" fontId="13" fillId="0" borderId="52" xfId="61" applyNumberFormat="1" applyFont="1" applyBorder="1" applyAlignment="1" applyProtection="1">
      <alignment/>
      <protection locked="0"/>
    </xf>
    <xf numFmtId="0" fontId="13" fillId="0" borderId="53" xfId="61" applyNumberFormat="1" applyFont="1" applyBorder="1" applyAlignment="1" applyProtection="1">
      <alignment/>
      <protection locked="0"/>
    </xf>
    <xf numFmtId="4" fontId="13" fillId="0" borderId="0" xfId="61" applyNumberFormat="1" applyFont="1" applyBorder="1">
      <alignment/>
      <protection/>
    </xf>
    <xf numFmtId="0" fontId="13" fillId="0" borderId="0" xfId="62" applyNumberFormat="1" applyFont="1" applyAlignment="1" applyProtection="1">
      <alignment/>
      <protection locked="0"/>
    </xf>
    <xf numFmtId="0" fontId="13" fillId="0" borderId="0" xfId="62" applyNumberFormat="1" applyFont="1" applyAlignment="1">
      <alignment vertical="center"/>
      <protection/>
    </xf>
    <xf numFmtId="0" fontId="13" fillId="0" borderId="41" xfId="62" applyNumberFormat="1" applyFont="1" applyBorder="1" applyAlignment="1">
      <alignment vertical="center"/>
      <protection/>
    </xf>
    <xf numFmtId="0" fontId="13" fillId="0" borderId="42" xfId="62" applyNumberFormat="1" applyFont="1" applyBorder="1" applyAlignment="1">
      <alignment vertical="center"/>
      <protection/>
    </xf>
    <xf numFmtId="0" fontId="13" fillId="0" borderId="42" xfId="62" applyNumberFormat="1" applyFont="1" applyBorder="1" applyAlignment="1">
      <alignment horizontal="right" vertical="center"/>
      <protection/>
    </xf>
    <xf numFmtId="0" fontId="13" fillId="0" borderId="43" xfId="62" applyNumberFormat="1" applyFont="1" applyBorder="1" applyAlignment="1">
      <alignment horizontal="left" vertical="center"/>
      <protection/>
    </xf>
    <xf numFmtId="0" fontId="13" fillId="0" borderId="0" xfId="62" applyNumberFormat="1" applyFont="1" applyBorder="1" applyAlignment="1">
      <alignment vertical="center"/>
      <protection/>
    </xf>
    <xf numFmtId="0" fontId="13" fillId="0" borderId="43" xfId="62" applyNumberFormat="1" applyFont="1" applyBorder="1" applyAlignment="1">
      <alignment vertical="center"/>
      <protection/>
    </xf>
    <xf numFmtId="0" fontId="13" fillId="0" borderId="41" xfId="62" applyNumberFormat="1" applyFont="1" applyBorder="1" applyAlignment="1">
      <alignment horizontal="center" vertical="center"/>
      <protection/>
    </xf>
    <xf numFmtId="0" fontId="13" fillId="0" borderId="44" xfId="62" applyNumberFormat="1" applyFont="1" applyBorder="1" applyAlignment="1">
      <alignment horizontal="center" vertical="center"/>
      <protection/>
    </xf>
    <xf numFmtId="0" fontId="13" fillId="0" borderId="41" xfId="62" applyNumberFormat="1" applyFont="1" applyBorder="1" applyAlignment="1">
      <alignment/>
      <protection/>
    </xf>
    <xf numFmtId="0" fontId="13" fillId="0" borderId="42" xfId="62" applyNumberFormat="1" applyFont="1" applyBorder="1" applyAlignment="1">
      <alignment/>
      <protection/>
    </xf>
    <xf numFmtId="0" fontId="13" fillId="0" borderId="41" xfId="62" applyNumberFormat="1" applyFont="1" applyBorder="1" applyAlignment="1">
      <alignment horizontal="center"/>
      <protection/>
    </xf>
    <xf numFmtId="4" fontId="13" fillId="0" borderId="41" xfId="62" applyNumberFormat="1" applyFont="1" applyBorder="1" applyAlignment="1">
      <alignment/>
      <protection/>
    </xf>
    <xf numFmtId="3" fontId="13" fillId="0" borderId="41" xfId="60" applyFont="1" applyBorder="1" applyAlignment="1">
      <alignment horizontal="right"/>
      <protection/>
    </xf>
    <xf numFmtId="3" fontId="13" fillId="0" borderId="41" xfId="62" applyFont="1" applyBorder="1" applyAlignment="1">
      <alignment/>
      <protection/>
    </xf>
    <xf numFmtId="0" fontId="13" fillId="0" borderId="44" xfId="62" applyNumberFormat="1" applyFont="1" applyBorder="1" applyAlignment="1">
      <alignment/>
      <protection/>
    </xf>
    <xf numFmtId="0" fontId="13" fillId="0" borderId="0" xfId="62" applyNumberFormat="1" applyFont="1" applyBorder="1">
      <alignment/>
      <protection/>
    </xf>
    <xf numFmtId="0" fontId="13" fillId="0" borderId="0" xfId="62" applyNumberFormat="1" applyFont="1" applyBorder="1" applyAlignment="1" applyProtection="1">
      <alignment/>
      <protection locked="0"/>
    </xf>
    <xf numFmtId="3" fontId="13" fillId="0" borderId="0" xfId="62" applyFont="1" applyBorder="1">
      <alignment/>
      <protection/>
    </xf>
    <xf numFmtId="0" fontId="13" fillId="0" borderId="48" xfId="62" applyNumberFormat="1" applyFont="1" applyBorder="1" applyAlignment="1">
      <alignment/>
      <protection/>
    </xf>
    <xf numFmtId="0" fontId="13" fillId="0" borderId="0" xfId="62" applyNumberFormat="1" applyFont="1" applyBorder="1" applyAlignment="1">
      <alignment/>
      <protection/>
    </xf>
    <xf numFmtId="0" fontId="13" fillId="0" borderId="48" xfId="62" applyNumberFormat="1" applyFont="1" applyBorder="1" applyAlignment="1">
      <alignment horizontal="center"/>
      <protection/>
    </xf>
    <xf numFmtId="4" fontId="13" fillId="0" borderId="48" xfId="62" applyNumberFormat="1" applyFont="1" applyBorder="1" applyAlignment="1">
      <alignment/>
      <protection/>
    </xf>
    <xf numFmtId="3" fontId="13" fillId="0" borderId="48" xfId="62" applyFont="1" applyBorder="1" applyAlignment="1">
      <alignment/>
      <protection/>
    </xf>
    <xf numFmtId="0" fontId="13" fillId="0" borderId="49" xfId="62" applyNumberFormat="1" applyFont="1" applyBorder="1" applyAlignment="1">
      <alignment/>
      <protection/>
    </xf>
    <xf numFmtId="3" fontId="13" fillId="0" borderId="48" xfId="62" applyFont="1" applyBorder="1" applyAlignment="1">
      <alignment horizontal="center"/>
      <protection/>
    </xf>
    <xf numFmtId="0" fontId="13" fillId="0" borderId="42" xfId="62" applyNumberFormat="1" applyFont="1" applyBorder="1">
      <alignment/>
      <protection/>
    </xf>
    <xf numFmtId="186" fontId="13" fillId="0" borderId="48" xfId="62" applyNumberFormat="1" applyFont="1" applyBorder="1" applyAlignment="1">
      <alignment horizontal="left"/>
      <protection/>
    </xf>
    <xf numFmtId="186" fontId="13" fillId="0" borderId="49" xfId="62" applyNumberFormat="1" applyFont="1" applyBorder="1" applyAlignment="1">
      <alignment/>
      <protection/>
    </xf>
    <xf numFmtId="3" fontId="13" fillId="0" borderId="41" xfId="62" applyFont="1" applyBorder="1" applyAlignment="1">
      <alignment horizontal="left"/>
      <protection/>
    </xf>
    <xf numFmtId="0" fontId="13" fillId="0" borderId="41" xfId="62" applyNumberFormat="1" applyFont="1" applyBorder="1" applyAlignment="1" applyProtection="1">
      <alignment/>
      <protection locked="0"/>
    </xf>
    <xf numFmtId="0" fontId="13" fillId="0" borderId="42" xfId="62" applyNumberFormat="1" applyFont="1" applyBorder="1" applyAlignment="1" applyProtection="1">
      <alignment/>
      <protection locked="0"/>
    </xf>
    <xf numFmtId="0" fontId="13" fillId="0" borderId="44" xfId="62" applyNumberFormat="1" applyFont="1" applyBorder="1" applyAlignment="1" applyProtection="1">
      <alignment/>
      <protection locked="0"/>
    </xf>
    <xf numFmtId="0" fontId="13" fillId="0" borderId="43" xfId="62" applyNumberFormat="1" applyFont="1" applyBorder="1" applyAlignment="1" applyProtection="1">
      <alignment/>
      <protection locked="0"/>
    </xf>
    <xf numFmtId="0" fontId="13" fillId="0" borderId="50" xfId="62" applyNumberFormat="1" applyFont="1" applyBorder="1" applyAlignment="1" applyProtection="1">
      <alignment/>
      <protection locked="0"/>
    </xf>
    <xf numFmtId="0" fontId="13" fillId="0" borderId="51" xfId="62" applyNumberFormat="1" applyFont="1" applyBorder="1" applyAlignment="1" applyProtection="1">
      <alignment/>
      <protection locked="0"/>
    </xf>
    <xf numFmtId="0" fontId="13" fillId="0" borderId="52" xfId="62" applyNumberFormat="1" applyFont="1" applyBorder="1" applyAlignment="1" applyProtection="1">
      <alignment/>
      <protection locked="0"/>
    </xf>
    <xf numFmtId="0" fontId="13" fillId="0" borderId="53" xfId="62" applyNumberFormat="1" applyFont="1" applyBorder="1" applyAlignment="1" applyProtection="1">
      <alignment/>
      <protection locked="0"/>
    </xf>
    <xf numFmtId="4" fontId="13" fillId="0" borderId="0" xfId="62" applyNumberFormat="1" applyFont="1" applyBorder="1">
      <alignment/>
      <protection/>
    </xf>
    <xf numFmtId="4" fontId="13" fillId="0" borderId="0" xfId="62" applyNumberFormat="1" applyFont="1">
      <alignment/>
      <protection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right" vertical="center"/>
    </xf>
    <xf numFmtId="189" fontId="5" fillId="0" borderId="18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3" fontId="5" fillId="0" borderId="23" xfId="0" applyNumberFormat="1" applyFont="1" applyFill="1" applyBorder="1" applyAlignment="1">
      <alignment horizontal="right" vertical="center"/>
    </xf>
    <xf numFmtId="194" fontId="3" fillId="0" borderId="22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vertical="center"/>
    </xf>
    <xf numFmtId="190" fontId="7" fillId="0" borderId="19" xfId="0" applyNumberFormat="1" applyFont="1" applyBorder="1" applyAlignment="1">
      <alignment horizontal="right" vertical="center"/>
    </xf>
    <xf numFmtId="192" fontId="3" fillId="0" borderId="12" xfId="0" applyNumberFormat="1" applyFont="1" applyBorder="1" applyAlignment="1">
      <alignment horizontal="right" vertical="center"/>
    </xf>
    <xf numFmtId="195" fontId="3" fillId="0" borderId="12" xfId="0" applyNumberFormat="1" applyFont="1" applyBorder="1" applyAlignment="1">
      <alignment horizontal="right" vertical="center"/>
    </xf>
    <xf numFmtId="197" fontId="7" fillId="0" borderId="19" xfId="0" applyNumberFormat="1" applyFont="1" applyBorder="1" applyAlignment="1">
      <alignment horizontal="right" vertical="center"/>
    </xf>
    <xf numFmtId="198" fontId="7" fillId="0" borderId="20" xfId="0" applyNumberFormat="1" applyFont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9" fillId="0" borderId="17" xfId="0" applyFont="1" applyBorder="1" applyAlignment="1">
      <alignment horizontal="justify"/>
    </xf>
    <xf numFmtId="179" fontId="3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7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/>
    </xf>
    <xf numFmtId="198" fontId="7" fillId="0" borderId="19" xfId="0" applyNumberFormat="1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9" fontId="9" fillId="0" borderId="17" xfId="42" applyFont="1" applyBorder="1" applyAlignment="1">
      <alignment/>
    </xf>
    <xf numFmtId="0" fontId="9" fillId="0" borderId="17" xfId="0" applyFont="1" applyBorder="1" applyAlignment="1">
      <alignment shrinkToFit="1"/>
    </xf>
    <xf numFmtId="0" fontId="22" fillId="0" borderId="17" xfId="0" applyFont="1" applyBorder="1" applyAlignment="1">
      <alignment horizontal="justify"/>
    </xf>
    <xf numFmtId="0" fontId="21" fillId="0" borderId="17" xfId="0" applyFont="1" applyBorder="1" applyAlignment="1">
      <alignment horizontal="justify"/>
    </xf>
    <xf numFmtId="3" fontId="13" fillId="0" borderId="48" xfId="61" applyFont="1" applyBorder="1" applyAlignment="1">
      <alignment horizontal="right"/>
      <protection/>
    </xf>
    <xf numFmtId="3" fontId="13" fillId="0" borderId="41" xfId="61" applyFont="1" applyBorder="1" applyAlignment="1">
      <alignment horizontal="right"/>
      <protection/>
    </xf>
    <xf numFmtId="3" fontId="13" fillId="0" borderId="41" xfId="62" applyFont="1" applyBorder="1" applyAlignment="1">
      <alignment horizontal="right"/>
      <protection/>
    </xf>
    <xf numFmtId="3" fontId="13" fillId="0" borderId="48" xfId="62" applyFont="1" applyBorder="1" applyAlignment="1">
      <alignment horizontal="right"/>
      <protection/>
    </xf>
    <xf numFmtId="199" fontId="9" fillId="0" borderId="17" xfId="0" applyNumberFormat="1" applyFont="1" applyBorder="1" applyAlignment="1">
      <alignment horizontal="left"/>
    </xf>
    <xf numFmtId="0" fontId="12" fillId="0" borderId="16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distributed" vertical="center"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 horizontal="right"/>
      <protection locked="0"/>
    </xf>
    <xf numFmtId="201" fontId="9" fillId="0" borderId="17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/>
      <protection locked="0"/>
    </xf>
    <xf numFmtId="9" fontId="9" fillId="0" borderId="17" xfId="0" applyNumberFormat="1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17" fillId="0" borderId="17" xfId="0" applyFont="1" applyBorder="1" applyAlignment="1" applyProtection="1">
      <alignment horizontal="justify"/>
      <protection locked="0"/>
    </xf>
    <xf numFmtId="0" fontId="10" fillId="0" borderId="22" xfId="0" applyFont="1" applyBorder="1" applyAlignment="1" applyProtection="1">
      <alignment/>
      <protection locked="0"/>
    </xf>
    <xf numFmtId="185" fontId="17" fillId="0" borderId="0" xfId="48" applyNumberFormat="1" applyFont="1" applyFill="1" applyBorder="1" applyAlignment="1">
      <alignment/>
    </xf>
    <xf numFmtId="185" fontId="17" fillId="0" borderId="12" xfId="48" applyNumberFormat="1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9" fillId="0" borderId="17" xfId="0" applyNumberFormat="1" applyFont="1" applyBorder="1" applyAlignment="1">
      <alignment horizontal="center"/>
    </xf>
    <xf numFmtId="41" fontId="9" fillId="0" borderId="17" xfId="0" applyNumberFormat="1" applyFont="1" applyBorder="1" applyAlignment="1" applyProtection="1">
      <alignment horizontal="center"/>
      <protection locked="0"/>
    </xf>
    <xf numFmtId="9" fontId="9" fillId="0" borderId="17" xfId="0" applyNumberFormat="1" applyFont="1" applyBorder="1" applyAlignment="1">
      <alignment/>
    </xf>
    <xf numFmtId="41" fontId="9" fillId="0" borderId="17" xfId="0" applyNumberFormat="1" applyFont="1" applyFill="1" applyBorder="1" applyAlignment="1">
      <alignment/>
    </xf>
    <xf numFmtId="0" fontId="10" fillId="0" borderId="23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41" fontId="3" fillId="33" borderId="54" xfId="0" applyNumberFormat="1" applyFont="1" applyFill="1" applyBorder="1" applyAlignment="1">
      <alignment vertical="center"/>
    </xf>
    <xf numFmtId="0" fontId="9" fillId="0" borderId="13" xfId="0" applyFont="1" applyBorder="1" applyAlignment="1" applyProtection="1">
      <alignment/>
      <protection locked="0"/>
    </xf>
    <xf numFmtId="38" fontId="3" fillId="0" borderId="0" xfId="48" applyFont="1" applyAlignment="1">
      <alignment vertical="center"/>
    </xf>
    <xf numFmtId="178" fontId="3" fillId="0" borderId="10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indent="1"/>
    </xf>
    <xf numFmtId="0" fontId="9" fillId="0" borderId="17" xfId="0" applyFont="1" applyBorder="1" applyAlignment="1">
      <alignment horizontal="left" wrapText="1" indent="1"/>
    </xf>
    <xf numFmtId="0" fontId="12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wrapText="1" indent="1" shrinkToFit="1"/>
    </xf>
    <xf numFmtId="178" fontId="62" fillId="0" borderId="15" xfId="0" applyNumberFormat="1" applyFont="1" applyBorder="1" applyAlignment="1">
      <alignment vertical="center"/>
    </xf>
    <xf numFmtId="0" fontId="63" fillId="0" borderId="24" xfId="0" applyFont="1" applyBorder="1" applyAlignment="1">
      <alignment horizontal="right"/>
    </xf>
    <xf numFmtId="0" fontId="64" fillId="0" borderId="24" xfId="0" applyFont="1" applyBorder="1" applyAlignment="1">
      <alignment horizontal="left"/>
    </xf>
    <xf numFmtId="0" fontId="65" fillId="0" borderId="24" xfId="0" applyFont="1" applyBorder="1" applyAlignment="1">
      <alignment horizontal="left"/>
    </xf>
    <xf numFmtId="0" fontId="63" fillId="0" borderId="24" xfId="0" applyFont="1" applyBorder="1" applyAlignment="1">
      <alignment horizontal="left"/>
    </xf>
    <xf numFmtId="9" fontId="9" fillId="0" borderId="17" xfId="42" applyFont="1" applyBorder="1" applyAlignment="1">
      <alignment horizontal="left"/>
    </xf>
    <xf numFmtId="9" fontId="9" fillId="0" borderId="17" xfId="0" applyNumberFormat="1" applyFont="1" applyBorder="1" applyAlignment="1">
      <alignment horizontal="left"/>
    </xf>
    <xf numFmtId="0" fontId="9" fillId="0" borderId="17" xfId="0" applyFont="1" applyFill="1" applyBorder="1" applyAlignment="1">
      <alignment wrapText="1"/>
    </xf>
    <xf numFmtId="0" fontId="64" fillId="0" borderId="24" xfId="0" applyFont="1" applyBorder="1" applyAlignment="1">
      <alignment horizontal="right"/>
    </xf>
    <xf numFmtId="0" fontId="64" fillId="0" borderId="24" xfId="0" applyFont="1" applyBorder="1" applyAlignment="1">
      <alignment/>
    </xf>
    <xf numFmtId="9" fontId="66" fillId="0" borderId="17" xfId="0" applyNumberFormat="1" applyFont="1" applyBorder="1" applyAlignment="1" applyProtection="1">
      <alignment horizontal="left"/>
      <protection locked="0"/>
    </xf>
    <xf numFmtId="9" fontId="9" fillId="0" borderId="17" xfId="0" applyNumberFormat="1" applyFont="1" applyBorder="1" applyAlignment="1" applyProtection="1">
      <alignment horizontal="left"/>
      <protection locked="0"/>
    </xf>
    <xf numFmtId="9" fontId="9" fillId="0" borderId="17" xfId="0" applyNumberFormat="1" applyFont="1" applyBorder="1" applyAlignment="1" applyProtection="1">
      <alignment horizontal="left" indent="1"/>
      <protection locked="0"/>
    </xf>
    <xf numFmtId="41" fontId="3" fillId="0" borderId="21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41" fontId="3" fillId="34" borderId="15" xfId="0" applyNumberFormat="1" applyFont="1" applyFill="1" applyBorder="1" applyAlignment="1">
      <alignment vertical="center"/>
    </xf>
    <xf numFmtId="41" fontId="3" fillId="34" borderId="17" xfId="0" applyNumberFormat="1" applyFont="1" applyFill="1" applyBorder="1" applyAlignment="1">
      <alignment vertical="center"/>
    </xf>
    <xf numFmtId="42" fontId="3" fillId="34" borderId="21" xfId="0" applyNumberFormat="1" applyFont="1" applyFill="1" applyBorder="1" applyAlignment="1">
      <alignment horizontal="center" vertical="center" shrinkToFit="1"/>
    </xf>
    <xf numFmtId="206" fontId="3" fillId="34" borderId="15" xfId="48" applyNumberFormat="1" applyFont="1" applyFill="1" applyBorder="1" applyAlignment="1">
      <alignment horizontal="center" vertical="center"/>
    </xf>
    <xf numFmtId="38" fontId="3" fillId="34" borderId="21" xfId="48" applyFont="1" applyFill="1" applyBorder="1" applyAlignment="1">
      <alignment horizontal="center" vertical="center"/>
    </xf>
    <xf numFmtId="207" fontId="3" fillId="34" borderId="15" xfId="48" applyNumberFormat="1" applyFont="1" applyFill="1" applyBorder="1" applyAlignment="1">
      <alignment horizontal="center" vertical="center"/>
    </xf>
    <xf numFmtId="38" fontId="3" fillId="34" borderId="11" xfId="48" applyFont="1" applyFill="1" applyBorder="1" applyAlignment="1">
      <alignment horizontal="center" vertical="center"/>
    </xf>
    <xf numFmtId="0" fontId="9" fillId="0" borderId="14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left" wrapText="1" indent="1"/>
      <protection locked="0"/>
    </xf>
    <xf numFmtId="0" fontId="9" fillId="0" borderId="17" xfId="0" applyFont="1" applyBorder="1" applyAlignment="1" applyProtection="1">
      <alignment shrinkToFit="1"/>
      <protection locked="0"/>
    </xf>
    <xf numFmtId="0" fontId="9" fillId="0" borderId="13" xfId="0" applyFont="1" applyBorder="1" applyAlignment="1" applyProtection="1">
      <alignment horizontal="left" wrapText="1" indent="3"/>
      <protection locked="0"/>
    </xf>
    <xf numFmtId="2" fontId="9" fillId="0" borderId="17" xfId="0" applyNumberFormat="1" applyFont="1" applyFill="1" applyBorder="1" applyAlignment="1">
      <alignment horizontal="right"/>
    </xf>
    <xf numFmtId="41" fontId="9" fillId="0" borderId="0" xfId="0" applyNumberFormat="1" applyFont="1" applyBorder="1" applyAlignment="1">
      <alignment horizontal="center"/>
    </xf>
    <xf numFmtId="41" fontId="9" fillId="0" borderId="10" xfId="0" applyNumberFormat="1" applyFont="1" applyBorder="1" applyAlignment="1">
      <alignment horizontal="right"/>
    </xf>
    <xf numFmtId="41" fontId="9" fillId="0" borderId="13" xfId="0" applyNumberFormat="1" applyFont="1" applyBorder="1" applyAlignment="1">
      <alignment horizontal="center"/>
    </xf>
    <xf numFmtId="41" fontId="13" fillId="0" borderId="0" xfId="62" applyNumberFormat="1" applyFont="1" applyBorder="1" applyAlignment="1" applyProtection="1">
      <alignment/>
      <protection locked="0"/>
    </xf>
    <xf numFmtId="0" fontId="10" fillId="0" borderId="16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top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1" fontId="3" fillId="34" borderId="21" xfId="0" applyNumberFormat="1" applyFont="1" applyFill="1" applyBorder="1" applyAlignment="1">
      <alignment vertical="center"/>
    </xf>
    <xf numFmtId="41" fontId="3" fillId="34" borderId="11" xfId="0" applyNumberFormat="1" applyFont="1" applyFill="1" applyBorder="1" applyAlignment="1">
      <alignment vertical="center"/>
    </xf>
    <xf numFmtId="41" fontId="3" fillId="34" borderId="15" xfId="0" applyNumberFormat="1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6" fontId="9" fillId="0" borderId="19" xfId="57" applyFont="1" applyBorder="1" applyAlignment="1">
      <alignment horizontal="center" vertical="center"/>
    </xf>
    <xf numFmtId="6" fontId="9" fillId="0" borderId="12" xfId="57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177" fontId="10" fillId="0" borderId="16" xfId="57" applyNumberFormat="1" applyFont="1" applyFill="1" applyBorder="1" applyAlignment="1">
      <alignment/>
    </xf>
    <xf numFmtId="0" fontId="9" fillId="0" borderId="1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8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18" fillId="0" borderId="57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/>
    </xf>
    <xf numFmtId="41" fontId="10" fillId="0" borderId="20" xfId="0" applyNumberFormat="1" applyFont="1" applyBorder="1" applyAlignment="1" applyProtection="1">
      <alignment/>
      <protection locked="0"/>
    </xf>
    <xf numFmtId="41" fontId="10" fillId="0" borderId="16" xfId="0" applyNumberFormat="1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left" wrapText="1" indent="1"/>
      <protection locked="0"/>
    </xf>
    <xf numFmtId="0" fontId="9" fillId="0" borderId="14" xfId="0" applyFont="1" applyBorder="1" applyAlignment="1" applyProtection="1">
      <alignment horizontal="left" wrapText="1" indent="1"/>
      <protection locked="0"/>
    </xf>
    <xf numFmtId="0" fontId="12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distributed"/>
    </xf>
    <xf numFmtId="0" fontId="9" fillId="0" borderId="13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21" xfId="0" applyFont="1" applyBorder="1" applyAlignment="1">
      <alignment vertical="top" wrapText="1"/>
    </xf>
    <xf numFmtId="0" fontId="9" fillId="0" borderId="15" xfId="0" applyFont="1" applyBorder="1" applyAlignment="1">
      <alignment vertical="top"/>
    </xf>
    <xf numFmtId="187" fontId="10" fillId="0" borderId="24" xfId="0" applyNumberFormat="1" applyFont="1" applyBorder="1" applyAlignment="1">
      <alignment horizontal="center"/>
    </xf>
    <xf numFmtId="187" fontId="10" fillId="0" borderId="62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便所清掃１" xfId="60"/>
    <cellStyle name="標準_便所清掃２" xfId="61"/>
    <cellStyle name="標準_便所清掃３" xfId="62"/>
    <cellStyle name="良い" xfId="63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4"/>
  <sheetViews>
    <sheetView zoomScalePageLayoutView="0" workbookViewId="0" topLeftCell="A1">
      <selection activeCell="C21" sqref="C21"/>
    </sheetView>
  </sheetViews>
  <sheetFormatPr defaultColWidth="10.875" defaultRowHeight="18" customHeight="1"/>
  <cols>
    <col min="1" max="1" width="5.875" style="13" customWidth="1"/>
    <col min="2" max="2" width="44.25390625" style="13" bestFit="1" customWidth="1"/>
    <col min="3" max="3" width="16.00390625" style="14" bestFit="1" customWidth="1"/>
    <col min="4" max="5" width="1.875" style="13" customWidth="1"/>
    <col min="6" max="7" width="21.25390625" style="13" customWidth="1"/>
    <col min="8" max="8" width="3.00390625" style="13" customWidth="1"/>
    <col min="9" max="9" width="1.875" style="13" customWidth="1"/>
    <col min="10" max="11" width="21.25390625" style="13" customWidth="1"/>
    <col min="12" max="12" width="4.00390625" style="13" bestFit="1" customWidth="1"/>
    <col min="13" max="13" width="1.875" style="13" customWidth="1"/>
    <col min="14" max="15" width="21.25390625" style="13" customWidth="1"/>
    <col min="16" max="16" width="4.00390625" style="13" bestFit="1" customWidth="1"/>
    <col min="17" max="17" width="1.875" style="13" customWidth="1"/>
    <col min="18" max="19" width="21.25390625" style="13" customWidth="1"/>
    <col min="20" max="20" width="1.75390625" style="13" customWidth="1"/>
    <col min="21" max="16384" width="10.875" style="13" customWidth="1"/>
  </cols>
  <sheetData>
    <row r="1" spans="2:4" ht="18" customHeight="1">
      <c r="B1" s="13" t="s">
        <v>407</v>
      </c>
      <c r="C1" s="400">
        <v>1</v>
      </c>
      <c r="D1" s="370" t="s">
        <v>335</v>
      </c>
    </row>
    <row r="2" spans="2:3" ht="18" customHeight="1">
      <c r="B2" s="15" t="s">
        <v>336</v>
      </c>
      <c r="C2" s="401">
        <v>26</v>
      </c>
    </row>
    <row r="3" spans="2:18" ht="18" customHeight="1" thickBot="1">
      <c r="B3" s="378" t="s">
        <v>338</v>
      </c>
      <c r="C3" s="379"/>
      <c r="F3" s="13" t="s">
        <v>385</v>
      </c>
      <c r="J3" s="13" t="s">
        <v>386</v>
      </c>
      <c r="N3" s="13" t="s">
        <v>387</v>
      </c>
      <c r="R3" s="13" t="s">
        <v>390</v>
      </c>
    </row>
    <row r="4" spans="2:19" ht="18" customHeight="1" thickTop="1">
      <c r="B4" s="377" t="s">
        <v>361</v>
      </c>
      <c r="C4" s="402"/>
      <c r="F4" s="314">
        <v>62</v>
      </c>
      <c r="G4" s="316">
        <v>4</v>
      </c>
      <c r="H4" s="308"/>
      <c r="I4" s="324"/>
      <c r="J4" s="314">
        <v>62</v>
      </c>
      <c r="K4" s="316">
        <v>4</v>
      </c>
      <c r="L4" s="311"/>
      <c r="M4" s="311"/>
      <c r="N4" s="314">
        <v>62</v>
      </c>
      <c r="O4" s="316">
        <v>4</v>
      </c>
      <c r="P4" s="311"/>
      <c r="Q4" s="311"/>
      <c r="R4" s="314">
        <v>62</v>
      </c>
      <c r="S4" s="316">
        <v>4</v>
      </c>
    </row>
    <row r="5" spans="2:19" ht="18" customHeight="1">
      <c r="B5" s="15" t="s">
        <v>362</v>
      </c>
      <c r="C5" s="403"/>
      <c r="F5" s="313">
        <f>F4-NETWORKDAYS(F10,G40,F30)-F6-1</f>
        <v>10</v>
      </c>
      <c r="G5" s="315">
        <f>NETWORKDAYS(F10,F29)</f>
        <v>14</v>
      </c>
      <c r="H5" s="309"/>
      <c r="I5" s="325"/>
      <c r="J5" s="313">
        <f>J4-NETWORKDAYS(J10,K40,J29)-J6-2</f>
        <v>9</v>
      </c>
      <c r="K5" s="315">
        <f>NETWORKDAYS(J10,J29,J27)</f>
        <v>14</v>
      </c>
      <c r="L5" s="311"/>
      <c r="M5" s="311"/>
      <c r="N5" s="313">
        <f>N4-NETWORKDAYS(N10,O40,N27)-N6-2</f>
        <v>9</v>
      </c>
      <c r="O5" s="315">
        <f>NETWORKDAYS(N10,N29,N25)-1</f>
        <v>13</v>
      </c>
      <c r="P5" s="311"/>
      <c r="Q5" s="311"/>
      <c r="R5" s="313">
        <f>R4-NETWORKDAYS(R10,S40,R26)-R6-1</f>
        <v>10</v>
      </c>
      <c r="S5" s="315">
        <f>NETWORKDAYS(R10,R29,R24)-1</f>
        <v>13</v>
      </c>
    </row>
    <row r="6" spans="2:19" ht="18" customHeight="1">
      <c r="B6" s="15" t="s">
        <v>363</v>
      </c>
      <c r="C6" s="403"/>
      <c r="F6" s="319">
        <v>8</v>
      </c>
      <c r="G6" s="320">
        <f>NETWORKDAYS(F30,G40)-1</f>
        <v>29</v>
      </c>
      <c r="H6" s="310"/>
      <c r="I6" s="326"/>
      <c r="J6" s="319">
        <v>8</v>
      </c>
      <c r="K6" s="320">
        <f>NETWORKDAYS(J30,K40)</f>
        <v>30</v>
      </c>
      <c r="L6" s="311"/>
      <c r="M6" s="311"/>
      <c r="N6" s="319">
        <v>8</v>
      </c>
      <c r="O6" s="320">
        <f>NETWORKDAYS(N30,O40)</f>
        <v>30</v>
      </c>
      <c r="P6" s="311"/>
      <c r="Q6" s="311"/>
      <c r="R6" s="319">
        <v>8</v>
      </c>
      <c r="S6" s="320">
        <f>NETWORKDAYS(R30,S40)</f>
        <v>30</v>
      </c>
    </row>
    <row r="7" spans="2:19" ht="18" customHeight="1">
      <c r="B7" s="15" t="s">
        <v>364</v>
      </c>
      <c r="C7" s="403"/>
      <c r="F7" s="322">
        <f>SUM(E10:E29)</f>
        <v>3</v>
      </c>
      <c r="G7" s="321">
        <f>NETWORKDAYS(G22,G25)+SUM(H22:H25)</f>
        <v>4</v>
      </c>
      <c r="H7" s="310"/>
      <c r="I7" s="326"/>
      <c r="J7" s="322">
        <f>SUM(I10:I29)</f>
        <v>3</v>
      </c>
      <c r="K7" s="321">
        <f>NETWORKDAYS(K22,K25)+SUM(L22:L25)</f>
        <v>3</v>
      </c>
      <c r="L7" s="311"/>
      <c r="M7" s="311"/>
      <c r="N7" s="322">
        <f>SUM(M10:M29)</f>
        <v>3</v>
      </c>
      <c r="O7" s="321">
        <f>NETWORKDAYS(O22,O25)+SUM(P22:P25)</f>
        <v>3</v>
      </c>
      <c r="P7" s="311"/>
      <c r="Q7" s="311"/>
      <c r="R7" s="322">
        <f>SUM(Q10:Q29)</f>
        <v>3</v>
      </c>
      <c r="S7" s="321">
        <f>NETWORKDAYS(S22,S25)+SUM(T22:T25)</f>
        <v>3</v>
      </c>
    </row>
    <row r="8" spans="2:19" ht="18" customHeight="1">
      <c r="B8" s="15" t="s">
        <v>365</v>
      </c>
      <c r="C8" s="403"/>
      <c r="F8" s="332">
        <f>SUM(E30:E40,H10:H40)-1</f>
        <v>5</v>
      </c>
      <c r="G8" s="333">
        <f>G4-G7</f>
        <v>0</v>
      </c>
      <c r="H8" s="310"/>
      <c r="I8" s="326"/>
      <c r="J8" s="332">
        <f>SUM(I30:I40,L10:L40)-1</f>
        <v>5</v>
      </c>
      <c r="K8" s="333">
        <f>K4-K7</f>
        <v>1</v>
      </c>
      <c r="L8" s="311"/>
      <c r="M8" s="311"/>
      <c r="N8" s="332">
        <f>SUM(M30:M40,P10:P40)-1</f>
        <v>5</v>
      </c>
      <c r="O8" s="333">
        <f>O4-O7</f>
        <v>1</v>
      </c>
      <c r="P8" s="311"/>
      <c r="Q8" s="311"/>
      <c r="R8" s="332">
        <f>SUM(Q30:Q40,T10:T40)-1</f>
        <v>5</v>
      </c>
      <c r="S8" s="333">
        <f>S4-S7</f>
        <v>1</v>
      </c>
    </row>
    <row r="9" spans="2:19" ht="18" customHeight="1">
      <c r="B9" s="15" t="s">
        <v>366</v>
      </c>
      <c r="C9" s="403"/>
      <c r="F9" s="323"/>
      <c r="G9" s="317">
        <f>COUNTIF(H22:H25,"")-G8</f>
        <v>3</v>
      </c>
      <c r="H9" s="310"/>
      <c r="I9" s="331"/>
      <c r="J9" s="323"/>
      <c r="K9" s="317">
        <f>COUNTIF(L22:L25,"")-K8</f>
        <v>2</v>
      </c>
      <c r="L9" s="311"/>
      <c r="M9" s="311"/>
      <c r="N9" s="323"/>
      <c r="O9" s="317">
        <f>COUNTIF(P22:P25,"")-O8</f>
        <v>2</v>
      </c>
      <c r="P9" s="311"/>
      <c r="Q9" s="311"/>
      <c r="R9" s="323"/>
      <c r="S9" s="317">
        <f>COUNTIF(T22:T25,"")-S8</f>
        <v>3</v>
      </c>
    </row>
    <row r="10" spans="2:20" ht="18" customHeight="1">
      <c r="B10" s="15" t="s">
        <v>367</v>
      </c>
      <c r="C10" s="403"/>
      <c r="E10" s="13">
        <f aca="true" t="shared" si="0" ref="E10:E15">IF(WEEKDAY(F10)=7,1,"")</f>
      </c>
      <c r="F10" s="16">
        <v>40359</v>
      </c>
      <c r="G10" s="16">
        <f>F40+1</f>
        <v>40390</v>
      </c>
      <c r="H10" s="318">
        <f aca="true" t="shared" si="1" ref="H10:H21">IF(WEEKDAY(G10)=7,1,"")</f>
      </c>
      <c r="I10" s="13">
        <f>IF(WEEKDAY(J10)=7,1,"")</f>
      </c>
      <c r="J10" s="16">
        <v>40724</v>
      </c>
      <c r="K10" s="16">
        <f>J40+1</f>
        <v>40755</v>
      </c>
      <c r="L10" s="328">
        <f aca="true" t="shared" si="2" ref="L10:L21">IF(WEEKDAY(K10)=7,1,"")</f>
        <v>1</v>
      </c>
      <c r="M10" s="329">
        <f>IF(WEEKDAY(N10)=7,1,"")</f>
      </c>
      <c r="N10" s="16">
        <v>41090</v>
      </c>
      <c r="O10" s="16">
        <f>N40+1</f>
        <v>41121</v>
      </c>
      <c r="P10" s="328">
        <f aca="true" t="shared" si="3" ref="P10:P21">IF(WEEKDAY(O10)=7,1,"")</f>
      </c>
      <c r="Q10" s="329">
        <f>IF(WEEKDAY(R10)=7,1,"")</f>
        <v>1</v>
      </c>
      <c r="R10" s="16">
        <v>41455</v>
      </c>
      <c r="S10" s="16">
        <f>R40+1</f>
        <v>41486</v>
      </c>
      <c r="T10" s="318">
        <f aca="true" t="shared" si="4" ref="T10:T21">IF(WEEKDAY(S10)=7,1,"")</f>
      </c>
    </row>
    <row r="11" spans="2:20" ht="18" customHeight="1">
      <c r="B11" s="15" t="s">
        <v>105</v>
      </c>
      <c r="C11" s="403"/>
      <c r="E11" s="13">
        <f t="shared" si="0"/>
      </c>
      <c r="F11" s="16">
        <f>F10+1</f>
        <v>40360</v>
      </c>
      <c r="G11" s="16">
        <f>G10+1</f>
        <v>40391</v>
      </c>
      <c r="H11" s="318">
        <f t="shared" si="1"/>
        <v>1</v>
      </c>
      <c r="I11" s="13">
        <f aca="true" t="shared" si="5" ref="I11:I40">IF(WEEKDAY(J11)=7,1,"")</f>
      </c>
      <c r="J11" s="16">
        <f>J10+1</f>
        <v>40725</v>
      </c>
      <c r="K11" s="16">
        <f>K10+1</f>
        <v>40756</v>
      </c>
      <c r="L11" s="328">
        <f t="shared" si="2"/>
      </c>
      <c r="M11" s="329">
        <f aca="true" t="shared" si="6" ref="M11:M40">IF(WEEKDAY(N11)=7,1,"")</f>
        <v>1</v>
      </c>
      <c r="N11" s="16">
        <f>N10+1</f>
        <v>41091</v>
      </c>
      <c r="O11" s="16">
        <f>O10+1</f>
        <v>41122</v>
      </c>
      <c r="P11" s="328">
        <f t="shared" si="3"/>
      </c>
      <c r="Q11" s="329">
        <f aca="true" t="shared" si="7" ref="Q11:Q40">IF(WEEKDAY(R11)=7,1,"")</f>
      </c>
      <c r="R11" s="16">
        <f>R10+1</f>
        <v>41456</v>
      </c>
      <c r="S11" s="16">
        <f>S10+1</f>
        <v>41487</v>
      </c>
      <c r="T11" s="318">
        <f t="shared" si="4"/>
      </c>
    </row>
    <row r="12" spans="2:20" ht="18" customHeight="1">
      <c r="B12" s="15" t="s">
        <v>107</v>
      </c>
      <c r="C12" s="403"/>
      <c r="E12" s="13">
        <f t="shared" si="0"/>
      </c>
      <c r="F12" s="16">
        <f aca="true" t="shared" si="8" ref="F12:F40">F11+1</f>
        <v>40361</v>
      </c>
      <c r="G12" s="16">
        <f aca="true" t="shared" si="9" ref="G12:G40">G11+1</f>
        <v>40392</v>
      </c>
      <c r="H12" s="318">
        <f t="shared" si="1"/>
      </c>
      <c r="I12" s="13">
        <f t="shared" si="5"/>
      </c>
      <c r="J12" s="16">
        <f aca="true" t="shared" si="10" ref="J12:J40">J11+1</f>
        <v>40726</v>
      </c>
      <c r="K12" s="16">
        <f aca="true" t="shared" si="11" ref="K12:K40">K11+1</f>
        <v>40757</v>
      </c>
      <c r="L12" s="328">
        <f t="shared" si="2"/>
      </c>
      <c r="M12" s="329">
        <f t="shared" si="6"/>
      </c>
      <c r="N12" s="16">
        <f aca="true" t="shared" si="12" ref="N12:N40">N11+1</f>
        <v>41092</v>
      </c>
      <c r="O12" s="16">
        <f aca="true" t="shared" si="13" ref="O12:O40">O11+1</f>
        <v>41123</v>
      </c>
      <c r="P12" s="328">
        <f t="shared" si="3"/>
      </c>
      <c r="Q12" s="329">
        <f t="shared" si="7"/>
      </c>
      <c r="R12" s="16">
        <f aca="true" t="shared" si="14" ref="R12:R40">R11+1</f>
        <v>41457</v>
      </c>
      <c r="S12" s="16">
        <f aca="true" t="shared" si="15" ref="S12:S40">S11+1</f>
        <v>41488</v>
      </c>
      <c r="T12" s="318">
        <f t="shared" si="4"/>
      </c>
    </row>
    <row r="13" spans="2:20" ht="18" customHeight="1">
      <c r="B13" s="15" t="s">
        <v>106</v>
      </c>
      <c r="C13" s="403"/>
      <c r="E13" s="13">
        <f t="shared" si="0"/>
      </c>
      <c r="F13" s="16">
        <f t="shared" si="8"/>
        <v>40362</v>
      </c>
      <c r="G13" s="16">
        <f t="shared" si="9"/>
        <v>40393</v>
      </c>
      <c r="H13" s="318">
        <f t="shared" si="1"/>
      </c>
      <c r="I13" s="13">
        <f t="shared" si="5"/>
        <v>1</v>
      </c>
      <c r="J13" s="16">
        <f t="shared" si="10"/>
        <v>40727</v>
      </c>
      <c r="K13" s="16">
        <f t="shared" si="11"/>
        <v>40758</v>
      </c>
      <c r="L13" s="328">
        <f t="shared" si="2"/>
      </c>
      <c r="M13" s="329">
        <f t="shared" si="6"/>
      </c>
      <c r="N13" s="16">
        <f t="shared" si="12"/>
        <v>41093</v>
      </c>
      <c r="O13" s="16">
        <f t="shared" si="13"/>
        <v>41124</v>
      </c>
      <c r="P13" s="328">
        <f t="shared" si="3"/>
      </c>
      <c r="Q13" s="329">
        <f t="shared" si="7"/>
      </c>
      <c r="R13" s="16">
        <f t="shared" si="14"/>
        <v>41458</v>
      </c>
      <c r="S13" s="16">
        <f t="shared" si="15"/>
        <v>41489</v>
      </c>
      <c r="T13" s="318">
        <f t="shared" si="4"/>
      </c>
    </row>
    <row r="14" spans="2:20" ht="18" customHeight="1">
      <c r="B14" s="15" t="s">
        <v>130</v>
      </c>
      <c r="C14" s="403"/>
      <c r="E14" s="13">
        <f t="shared" si="0"/>
        <v>1</v>
      </c>
      <c r="F14" s="16">
        <f t="shared" si="8"/>
        <v>40363</v>
      </c>
      <c r="G14" s="16">
        <f t="shared" si="9"/>
        <v>40394</v>
      </c>
      <c r="H14" s="318">
        <f t="shared" si="1"/>
      </c>
      <c r="I14" s="13">
        <f t="shared" si="5"/>
      </c>
      <c r="J14" s="16">
        <f t="shared" si="10"/>
        <v>40728</v>
      </c>
      <c r="K14" s="16">
        <f t="shared" si="11"/>
        <v>40759</v>
      </c>
      <c r="L14" s="328">
        <f t="shared" si="2"/>
      </c>
      <c r="M14" s="329">
        <f t="shared" si="6"/>
      </c>
      <c r="N14" s="16">
        <f t="shared" si="12"/>
        <v>41094</v>
      </c>
      <c r="O14" s="16">
        <f t="shared" si="13"/>
        <v>41125</v>
      </c>
      <c r="P14" s="328">
        <f t="shared" si="3"/>
      </c>
      <c r="Q14" s="329">
        <f t="shared" si="7"/>
      </c>
      <c r="R14" s="16">
        <f t="shared" si="14"/>
        <v>41459</v>
      </c>
      <c r="S14" s="16">
        <f t="shared" si="15"/>
        <v>41490</v>
      </c>
      <c r="T14" s="318">
        <f t="shared" si="4"/>
        <v>1</v>
      </c>
    </row>
    <row r="15" spans="2:20" ht="18" customHeight="1">
      <c r="B15" s="15" t="s">
        <v>155</v>
      </c>
      <c r="C15" s="403"/>
      <c r="E15" s="13">
        <f t="shared" si="0"/>
      </c>
      <c r="F15" s="16">
        <f t="shared" si="8"/>
        <v>40364</v>
      </c>
      <c r="G15" s="16">
        <f t="shared" si="9"/>
        <v>40395</v>
      </c>
      <c r="H15" s="318">
        <f t="shared" si="1"/>
      </c>
      <c r="I15" s="13">
        <f t="shared" si="5"/>
      </c>
      <c r="J15" s="16">
        <f t="shared" si="10"/>
        <v>40729</v>
      </c>
      <c r="K15" s="16">
        <f t="shared" si="11"/>
        <v>40760</v>
      </c>
      <c r="L15" s="328">
        <f t="shared" si="2"/>
      </c>
      <c r="M15" s="329">
        <f t="shared" si="6"/>
      </c>
      <c r="N15" s="16">
        <f t="shared" si="12"/>
        <v>41095</v>
      </c>
      <c r="O15" s="16">
        <f t="shared" si="13"/>
        <v>41126</v>
      </c>
      <c r="P15" s="328">
        <f t="shared" si="3"/>
        <v>1</v>
      </c>
      <c r="Q15" s="329">
        <f t="shared" si="7"/>
      </c>
      <c r="R15" s="16">
        <f t="shared" si="14"/>
        <v>41460</v>
      </c>
      <c r="S15" s="16">
        <f t="shared" si="15"/>
        <v>41491</v>
      </c>
      <c r="T15" s="318">
        <f t="shared" si="4"/>
      </c>
    </row>
    <row r="16" spans="2:20" ht="18" customHeight="1">
      <c r="B16" s="15" t="s">
        <v>68</v>
      </c>
      <c r="C16" s="403"/>
      <c r="E16" s="13">
        <f aca="true" t="shared" si="16" ref="E16:E40">IF(WEEKDAY(F16)=7,1,"")</f>
      </c>
      <c r="F16" s="16">
        <f t="shared" si="8"/>
        <v>40365</v>
      </c>
      <c r="G16" s="16">
        <f t="shared" si="9"/>
        <v>40396</v>
      </c>
      <c r="H16" s="318">
        <f t="shared" si="1"/>
      </c>
      <c r="I16" s="13">
        <f t="shared" si="5"/>
      </c>
      <c r="J16" s="16">
        <f t="shared" si="10"/>
        <v>40730</v>
      </c>
      <c r="K16" s="16">
        <f t="shared" si="11"/>
        <v>40761</v>
      </c>
      <c r="L16" s="328">
        <f t="shared" si="2"/>
      </c>
      <c r="M16" s="329">
        <f t="shared" si="6"/>
      </c>
      <c r="N16" s="16">
        <f t="shared" si="12"/>
        <v>41096</v>
      </c>
      <c r="O16" s="16">
        <f t="shared" si="13"/>
        <v>41127</v>
      </c>
      <c r="P16" s="328">
        <f t="shared" si="3"/>
      </c>
      <c r="Q16" s="329">
        <f t="shared" si="7"/>
      </c>
      <c r="R16" s="16">
        <f t="shared" si="14"/>
        <v>41461</v>
      </c>
      <c r="S16" s="16">
        <f t="shared" si="15"/>
        <v>41492</v>
      </c>
      <c r="T16" s="318">
        <f t="shared" si="4"/>
      </c>
    </row>
    <row r="17" spans="2:20" ht="18" customHeight="1">
      <c r="B17" s="15" t="s">
        <v>368</v>
      </c>
      <c r="C17" s="403"/>
      <c r="E17" s="13">
        <f t="shared" si="16"/>
      </c>
      <c r="F17" s="16">
        <f t="shared" si="8"/>
        <v>40366</v>
      </c>
      <c r="G17" s="16">
        <f t="shared" si="9"/>
        <v>40397</v>
      </c>
      <c r="H17" s="318">
        <f t="shared" si="1"/>
      </c>
      <c r="I17" s="13">
        <f t="shared" si="5"/>
      </c>
      <c r="J17" s="16">
        <f t="shared" si="10"/>
        <v>40731</v>
      </c>
      <c r="K17" s="16">
        <f t="shared" si="11"/>
        <v>40762</v>
      </c>
      <c r="L17" s="328">
        <f t="shared" si="2"/>
        <v>1</v>
      </c>
      <c r="M17" s="329">
        <f t="shared" si="6"/>
      </c>
      <c r="N17" s="16">
        <f t="shared" si="12"/>
        <v>41097</v>
      </c>
      <c r="O17" s="16">
        <f t="shared" si="13"/>
        <v>41128</v>
      </c>
      <c r="P17" s="328">
        <f t="shared" si="3"/>
      </c>
      <c r="Q17" s="329">
        <f t="shared" si="7"/>
        <v>1</v>
      </c>
      <c r="R17" s="16">
        <f t="shared" si="14"/>
        <v>41462</v>
      </c>
      <c r="S17" s="16">
        <f t="shared" si="15"/>
        <v>41493</v>
      </c>
      <c r="T17" s="318">
        <f t="shared" si="4"/>
      </c>
    </row>
    <row r="18" spans="2:20" ht="18" customHeight="1">
      <c r="B18" s="15" t="s">
        <v>6</v>
      </c>
      <c r="C18" s="403"/>
      <c r="E18" s="13">
        <f t="shared" si="16"/>
      </c>
      <c r="F18" s="16">
        <f t="shared" si="8"/>
        <v>40367</v>
      </c>
      <c r="G18" s="16">
        <f t="shared" si="9"/>
        <v>40398</v>
      </c>
      <c r="H18" s="318">
        <f t="shared" si="1"/>
        <v>1</v>
      </c>
      <c r="I18" s="13">
        <f t="shared" si="5"/>
      </c>
      <c r="J18" s="16">
        <f t="shared" si="10"/>
        <v>40732</v>
      </c>
      <c r="K18" s="16">
        <f t="shared" si="11"/>
        <v>40763</v>
      </c>
      <c r="L18" s="328">
        <f t="shared" si="2"/>
      </c>
      <c r="M18" s="329">
        <f t="shared" si="6"/>
        <v>1</v>
      </c>
      <c r="N18" s="16">
        <f t="shared" si="12"/>
        <v>41098</v>
      </c>
      <c r="O18" s="16">
        <f t="shared" si="13"/>
        <v>41129</v>
      </c>
      <c r="P18" s="328">
        <f t="shared" si="3"/>
      </c>
      <c r="Q18" s="329">
        <f t="shared" si="7"/>
      </c>
      <c r="R18" s="16">
        <f t="shared" si="14"/>
        <v>41463</v>
      </c>
      <c r="S18" s="16">
        <f t="shared" si="15"/>
        <v>41494</v>
      </c>
      <c r="T18" s="318">
        <f t="shared" si="4"/>
      </c>
    </row>
    <row r="19" spans="2:20" ht="18" customHeight="1">
      <c r="B19" s="15" t="s">
        <v>7</v>
      </c>
      <c r="C19" s="403"/>
      <c r="E19" s="13">
        <f t="shared" si="16"/>
      </c>
      <c r="F19" s="16">
        <f t="shared" si="8"/>
        <v>40368</v>
      </c>
      <c r="G19" s="16">
        <f t="shared" si="9"/>
        <v>40399</v>
      </c>
      <c r="H19" s="318">
        <f t="shared" si="1"/>
      </c>
      <c r="I19" s="13">
        <f t="shared" si="5"/>
      </c>
      <c r="J19" s="16">
        <f t="shared" si="10"/>
        <v>40733</v>
      </c>
      <c r="K19" s="16">
        <f t="shared" si="11"/>
        <v>40764</v>
      </c>
      <c r="L19" s="328">
        <f t="shared" si="2"/>
      </c>
      <c r="M19" s="329">
        <f t="shared" si="6"/>
      </c>
      <c r="N19" s="16">
        <f t="shared" si="12"/>
        <v>41099</v>
      </c>
      <c r="O19" s="16">
        <f t="shared" si="13"/>
        <v>41130</v>
      </c>
      <c r="P19" s="328">
        <f t="shared" si="3"/>
      </c>
      <c r="Q19" s="329">
        <f t="shared" si="7"/>
      </c>
      <c r="R19" s="16">
        <f t="shared" si="14"/>
        <v>41464</v>
      </c>
      <c r="S19" s="16">
        <f t="shared" si="15"/>
        <v>41495</v>
      </c>
      <c r="T19" s="318">
        <f t="shared" si="4"/>
      </c>
    </row>
    <row r="20" spans="2:20" ht="18" customHeight="1">
      <c r="B20" s="15" t="s">
        <v>8</v>
      </c>
      <c r="C20" s="403"/>
      <c r="E20" s="13">
        <f t="shared" si="16"/>
      </c>
      <c r="F20" s="16">
        <f t="shared" si="8"/>
        <v>40369</v>
      </c>
      <c r="G20" s="16">
        <f t="shared" si="9"/>
        <v>40400</v>
      </c>
      <c r="H20" s="318">
        <f t="shared" si="1"/>
      </c>
      <c r="I20" s="13">
        <f t="shared" si="5"/>
        <v>1</v>
      </c>
      <c r="J20" s="16">
        <f t="shared" si="10"/>
        <v>40734</v>
      </c>
      <c r="K20" s="16">
        <f t="shared" si="11"/>
        <v>40765</v>
      </c>
      <c r="L20" s="328">
        <f t="shared" si="2"/>
      </c>
      <c r="M20" s="329">
        <f t="shared" si="6"/>
      </c>
      <c r="N20" s="16">
        <f t="shared" si="12"/>
        <v>41100</v>
      </c>
      <c r="O20" s="16">
        <f t="shared" si="13"/>
        <v>41131</v>
      </c>
      <c r="P20" s="328">
        <f t="shared" si="3"/>
      </c>
      <c r="Q20" s="329">
        <f t="shared" si="7"/>
      </c>
      <c r="R20" s="16">
        <f t="shared" si="14"/>
        <v>41465</v>
      </c>
      <c r="S20" s="16">
        <f t="shared" si="15"/>
        <v>41496</v>
      </c>
      <c r="T20" s="318">
        <f t="shared" si="4"/>
      </c>
    </row>
    <row r="21" spans="2:20" ht="18" customHeight="1">
      <c r="B21" s="15" t="s">
        <v>371</v>
      </c>
      <c r="C21" s="403"/>
      <c r="E21" s="13">
        <f t="shared" si="16"/>
        <v>1</v>
      </c>
      <c r="F21" s="16">
        <f t="shared" si="8"/>
        <v>40370</v>
      </c>
      <c r="G21" s="16">
        <f t="shared" si="9"/>
        <v>40401</v>
      </c>
      <c r="H21" s="318">
        <f t="shared" si="1"/>
      </c>
      <c r="I21" s="13">
        <f t="shared" si="5"/>
      </c>
      <c r="J21" s="16">
        <f t="shared" si="10"/>
        <v>40735</v>
      </c>
      <c r="K21" s="16">
        <f t="shared" si="11"/>
        <v>40766</v>
      </c>
      <c r="L21" s="328">
        <f t="shared" si="2"/>
      </c>
      <c r="M21" s="329">
        <f t="shared" si="6"/>
      </c>
      <c r="N21" s="16">
        <f t="shared" si="12"/>
        <v>41101</v>
      </c>
      <c r="O21" s="16">
        <f t="shared" si="13"/>
        <v>41132</v>
      </c>
      <c r="P21" s="328">
        <f t="shared" si="3"/>
      </c>
      <c r="Q21" s="329">
        <f t="shared" si="7"/>
      </c>
      <c r="R21" s="16">
        <f t="shared" si="14"/>
        <v>41466</v>
      </c>
      <c r="S21" s="16">
        <f t="shared" si="15"/>
        <v>41497</v>
      </c>
      <c r="T21" s="318">
        <f t="shared" si="4"/>
        <v>1</v>
      </c>
    </row>
    <row r="22" spans="2:20" ht="18" customHeight="1">
      <c r="B22" s="15" t="s">
        <v>372</v>
      </c>
      <c r="C22" s="403"/>
      <c r="E22" s="13">
        <f t="shared" si="16"/>
      </c>
      <c r="F22" s="16">
        <f t="shared" si="8"/>
        <v>40371</v>
      </c>
      <c r="G22" s="16">
        <f t="shared" si="9"/>
        <v>40402</v>
      </c>
      <c r="H22" s="318">
        <f>IF(WEEKDAY(G22)=7,1,"")</f>
      </c>
      <c r="I22" s="13">
        <f t="shared" si="5"/>
      </c>
      <c r="J22" s="16">
        <f t="shared" si="10"/>
        <v>40736</v>
      </c>
      <c r="K22" s="16">
        <f t="shared" si="11"/>
        <v>40767</v>
      </c>
      <c r="L22" s="328">
        <f>IF(WEEKDAY(K22)=7,1,"")</f>
      </c>
      <c r="M22" s="329">
        <f t="shared" si="6"/>
      </c>
      <c r="N22" s="16">
        <f t="shared" si="12"/>
        <v>41102</v>
      </c>
      <c r="O22" s="16">
        <f t="shared" si="13"/>
        <v>41133</v>
      </c>
      <c r="P22" s="328">
        <f>IF(WEEKDAY(O22)=7,1,"")</f>
        <v>1</v>
      </c>
      <c r="Q22" s="329">
        <f t="shared" si="7"/>
      </c>
      <c r="R22" s="16">
        <f t="shared" si="14"/>
        <v>41467</v>
      </c>
      <c r="S22" s="16">
        <f t="shared" si="15"/>
        <v>41498</v>
      </c>
      <c r="T22" s="318">
        <f>IF(WEEKDAY(S22)=7,1,"")</f>
      </c>
    </row>
    <row r="23" spans="2:20" ht="18" customHeight="1">
      <c r="B23" s="15" t="s">
        <v>370</v>
      </c>
      <c r="C23" s="403"/>
      <c r="E23" s="13">
        <f t="shared" si="16"/>
      </c>
      <c r="F23" s="16">
        <f t="shared" si="8"/>
        <v>40372</v>
      </c>
      <c r="G23" s="16">
        <f t="shared" si="9"/>
        <v>40403</v>
      </c>
      <c r="H23" s="318">
        <f aca="true" t="shared" si="17" ref="H23:H40">IF(WEEKDAY(G23)=7,1,"")</f>
      </c>
      <c r="I23" s="13">
        <f t="shared" si="5"/>
      </c>
      <c r="J23" s="16">
        <f t="shared" si="10"/>
        <v>40737</v>
      </c>
      <c r="K23" s="16">
        <f t="shared" si="11"/>
        <v>40768</v>
      </c>
      <c r="L23" s="328">
        <f aca="true" t="shared" si="18" ref="L23:L40">IF(WEEKDAY(K23)=7,1,"")</f>
      </c>
      <c r="M23" s="329">
        <f t="shared" si="6"/>
      </c>
      <c r="N23" s="16">
        <f t="shared" si="12"/>
        <v>41103</v>
      </c>
      <c r="O23" s="16">
        <f t="shared" si="13"/>
        <v>41134</v>
      </c>
      <c r="P23" s="328">
        <f aca="true" t="shared" si="19" ref="P23:P40">IF(WEEKDAY(O23)=7,1,"")</f>
      </c>
      <c r="Q23" s="329">
        <f t="shared" si="7"/>
      </c>
      <c r="R23" s="16">
        <f t="shared" si="14"/>
        <v>41468</v>
      </c>
      <c r="S23" s="16">
        <f t="shared" si="15"/>
        <v>41499</v>
      </c>
      <c r="T23" s="318">
        <f aca="true" t="shared" si="20" ref="T23:T40">IF(WEEKDAY(S23)=7,1,"")</f>
      </c>
    </row>
    <row r="24" spans="2:20" ht="18" customHeight="1">
      <c r="B24" s="15" t="s">
        <v>360</v>
      </c>
      <c r="C24" s="403"/>
      <c r="E24" s="13">
        <f t="shared" si="16"/>
      </c>
      <c r="F24" s="16">
        <f t="shared" si="8"/>
        <v>40373</v>
      </c>
      <c r="G24" s="16">
        <f t="shared" si="9"/>
        <v>40404</v>
      </c>
      <c r="H24" s="318">
        <f t="shared" si="17"/>
      </c>
      <c r="I24" s="13">
        <f t="shared" si="5"/>
      </c>
      <c r="J24" s="16">
        <f t="shared" si="10"/>
        <v>40738</v>
      </c>
      <c r="K24" s="16">
        <f t="shared" si="11"/>
        <v>40769</v>
      </c>
      <c r="L24" s="328">
        <f t="shared" si="18"/>
        <v>1</v>
      </c>
      <c r="M24" s="329">
        <f t="shared" si="6"/>
      </c>
      <c r="N24" s="16">
        <f t="shared" si="12"/>
        <v>41104</v>
      </c>
      <c r="O24" s="16">
        <f t="shared" si="13"/>
        <v>41135</v>
      </c>
      <c r="P24" s="328">
        <f t="shared" si="19"/>
      </c>
      <c r="Q24" s="329">
        <f t="shared" si="7"/>
        <v>1</v>
      </c>
      <c r="R24" s="16">
        <f t="shared" si="14"/>
        <v>41469</v>
      </c>
      <c r="S24" s="16">
        <f t="shared" si="15"/>
        <v>41500</v>
      </c>
      <c r="T24" s="318">
        <f t="shared" si="20"/>
      </c>
    </row>
    <row r="25" spans="2:20" ht="18" customHeight="1">
      <c r="B25" s="15"/>
      <c r="C25" s="403"/>
      <c r="E25" s="13">
        <f t="shared" si="16"/>
      </c>
      <c r="F25" s="16">
        <f t="shared" si="8"/>
        <v>40374</v>
      </c>
      <c r="G25" s="16">
        <f t="shared" si="9"/>
        <v>40405</v>
      </c>
      <c r="H25" s="318">
        <f t="shared" si="17"/>
        <v>1</v>
      </c>
      <c r="I25" s="13">
        <f t="shared" si="5"/>
      </c>
      <c r="J25" s="16">
        <f t="shared" si="10"/>
        <v>40739</v>
      </c>
      <c r="K25" s="16">
        <f t="shared" si="11"/>
        <v>40770</v>
      </c>
      <c r="L25" s="328">
        <f t="shared" si="18"/>
      </c>
      <c r="M25" s="329">
        <f t="shared" si="6"/>
        <v>1</v>
      </c>
      <c r="N25" s="16">
        <f t="shared" si="12"/>
        <v>41105</v>
      </c>
      <c r="O25" s="16">
        <f t="shared" si="13"/>
        <v>41136</v>
      </c>
      <c r="P25" s="328">
        <f t="shared" si="19"/>
      </c>
      <c r="Q25" s="329">
        <f t="shared" si="7"/>
      </c>
      <c r="R25" s="16">
        <f t="shared" si="14"/>
        <v>41470</v>
      </c>
      <c r="S25" s="16">
        <f t="shared" si="15"/>
        <v>41501</v>
      </c>
      <c r="T25" s="318">
        <f t="shared" si="20"/>
      </c>
    </row>
    <row r="26" spans="2:20" ht="18" customHeight="1">
      <c r="B26" s="15" t="s">
        <v>381</v>
      </c>
      <c r="C26" s="403"/>
      <c r="E26" s="13">
        <f t="shared" si="16"/>
      </c>
      <c r="F26" s="16">
        <f t="shared" si="8"/>
        <v>40375</v>
      </c>
      <c r="G26" s="16">
        <f t="shared" si="9"/>
        <v>40406</v>
      </c>
      <c r="H26" s="318">
        <f t="shared" si="17"/>
      </c>
      <c r="I26" s="13">
        <f t="shared" si="5"/>
      </c>
      <c r="J26" s="16">
        <f t="shared" si="10"/>
        <v>40740</v>
      </c>
      <c r="K26" s="16">
        <f t="shared" si="11"/>
        <v>40771</v>
      </c>
      <c r="L26" s="328">
        <f t="shared" si="18"/>
      </c>
      <c r="M26" s="329">
        <f t="shared" si="6"/>
      </c>
      <c r="N26" s="16">
        <f t="shared" si="12"/>
        <v>41106</v>
      </c>
      <c r="O26" s="16">
        <f t="shared" si="13"/>
        <v>41137</v>
      </c>
      <c r="P26" s="328">
        <f t="shared" si="19"/>
      </c>
      <c r="Q26" s="329">
        <f t="shared" si="7"/>
      </c>
      <c r="R26" s="387">
        <f t="shared" si="14"/>
        <v>41471</v>
      </c>
      <c r="S26" s="16">
        <f t="shared" si="15"/>
        <v>41502</v>
      </c>
      <c r="T26" s="318">
        <f t="shared" si="20"/>
      </c>
    </row>
    <row r="27" spans="2:20" ht="18" customHeight="1">
      <c r="B27" s="421" t="s">
        <v>382</v>
      </c>
      <c r="C27" s="424"/>
      <c r="E27" s="13">
        <f t="shared" si="16"/>
      </c>
      <c r="F27" s="16">
        <f t="shared" si="8"/>
        <v>40376</v>
      </c>
      <c r="G27" s="16">
        <f t="shared" si="9"/>
        <v>40407</v>
      </c>
      <c r="H27" s="318">
        <f t="shared" si="17"/>
      </c>
      <c r="I27" s="13">
        <f t="shared" si="5"/>
        <v>1</v>
      </c>
      <c r="J27" s="16">
        <f t="shared" si="10"/>
        <v>40741</v>
      </c>
      <c r="K27" s="16">
        <f t="shared" si="11"/>
        <v>40772</v>
      </c>
      <c r="L27" s="328">
        <f t="shared" si="18"/>
      </c>
      <c r="M27" s="329">
        <f t="shared" si="6"/>
      </c>
      <c r="N27" s="387">
        <f t="shared" si="12"/>
        <v>41107</v>
      </c>
      <c r="O27" s="16">
        <f t="shared" si="13"/>
        <v>41138</v>
      </c>
      <c r="P27" s="328">
        <f t="shared" si="19"/>
      </c>
      <c r="Q27" s="329">
        <f t="shared" si="7"/>
      </c>
      <c r="R27" s="16">
        <f t="shared" si="14"/>
        <v>41472</v>
      </c>
      <c r="S27" s="16">
        <f t="shared" si="15"/>
        <v>41503</v>
      </c>
      <c r="T27" s="318">
        <f t="shared" si="20"/>
      </c>
    </row>
    <row r="28" spans="2:20" ht="18" customHeight="1">
      <c r="B28" s="422"/>
      <c r="C28" s="425"/>
      <c r="E28" s="13">
        <f t="shared" si="16"/>
        <v>1</v>
      </c>
      <c r="F28" s="16">
        <f t="shared" si="8"/>
        <v>40377</v>
      </c>
      <c r="G28" s="16">
        <f t="shared" si="9"/>
        <v>40408</v>
      </c>
      <c r="H28" s="318">
        <f t="shared" si="17"/>
      </c>
      <c r="I28" s="13">
        <f t="shared" si="5"/>
      </c>
      <c r="J28" s="16">
        <f t="shared" si="10"/>
        <v>40742</v>
      </c>
      <c r="K28" s="16">
        <f t="shared" si="11"/>
        <v>40773</v>
      </c>
      <c r="L28" s="328">
        <f t="shared" si="18"/>
      </c>
      <c r="M28" s="329">
        <f t="shared" si="6"/>
      </c>
      <c r="N28" s="16">
        <f t="shared" si="12"/>
        <v>41108</v>
      </c>
      <c r="O28" s="16">
        <f t="shared" si="13"/>
        <v>41139</v>
      </c>
      <c r="P28" s="328">
        <f t="shared" si="19"/>
      </c>
      <c r="Q28" s="329">
        <f t="shared" si="7"/>
      </c>
      <c r="R28" s="16">
        <f t="shared" si="14"/>
        <v>41473</v>
      </c>
      <c r="S28" s="16">
        <f t="shared" si="15"/>
        <v>41504</v>
      </c>
      <c r="T28" s="318">
        <f t="shared" si="20"/>
        <v>1</v>
      </c>
    </row>
    <row r="29" spans="2:20" ht="18" customHeight="1">
      <c r="B29" s="422"/>
      <c r="C29" s="425"/>
      <c r="E29" s="13">
        <f t="shared" si="16"/>
      </c>
      <c r="F29" s="16">
        <f t="shared" si="8"/>
        <v>40378</v>
      </c>
      <c r="G29" s="16">
        <f t="shared" si="9"/>
        <v>40409</v>
      </c>
      <c r="H29" s="318">
        <f t="shared" si="17"/>
      </c>
      <c r="I29" s="13">
        <f t="shared" si="5"/>
      </c>
      <c r="J29" s="387">
        <f t="shared" si="10"/>
        <v>40743</v>
      </c>
      <c r="K29" s="16">
        <f t="shared" si="11"/>
        <v>40774</v>
      </c>
      <c r="L29" s="328">
        <f t="shared" si="18"/>
      </c>
      <c r="M29" s="329">
        <f t="shared" si="6"/>
      </c>
      <c r="N29" s="16">
        <f t="shared" si="12"/>
        <v>41109</v>
      </c>
      <c r="O29" s="16">
        <f t="shared" si="13"/>
        <v>41140</v>
      </c>
      <c r="P29" s="328">
        <f t="shared" si="19"/>
        <v>1</v>
      </c>
      <c r="Q29" s="329">
        <f t="shared" si="7"/>
      </c>
      <c r="R29" s="16">
        <f t="shared" si="14"/>
        <v>41474</v>
      </c>
      <c r="S29" s="16">
        <f t="shared" si="15"/>
        <v>41505</v>
      </c>
      <c r="T29" s="318">
        <f t="shared" si="20"/>
      </c>
    </row>
    <row r="30" spans="2:20" ht="18" customHeight="1">
      <c r="B30" s="423"/>
      <c r="C30" s="426"/>
      <c r="E30" s="13">
        <f t="shared" si="16"/>
      </c>
      <c r="F30" s="387">
        <f t="shared" si="8"/>
        <v>40379</v>
      </c>
      <c r="G30" s="16">
        <f t="shared" si="9"/>
        <v>40410</v>
      </c>
      <c r="H30" s="318">
        <f t="shared" si="17"/>
      </c>
      <c r="I30" s="13">
        <f t="shared" si="5"/>
      </c>
      <c r="J30" s="16">
        <f t="shared" si="10"/>
        <v>40744</v>
      </c>
      <c r="K30" s="16">
        <f t="shared" si="11"/>
        <v>40775</v>
      </c>
      <c r="L30" s="328">
        <f t="shared" si="18"/>
      </c>
      <c r="M30" s="329">
        <f t="shared" si="6"/>
      </c>
      <c r="N30" s="16">
        <f t="shared" si="12"/>
        <v>41110</v>
      </c>
      <c r="O30" s="16">
        <f t="shared" si="13"/>
        <v>41141</v>
      </c>
      <c r="P30" s="328">
        <f t="shared" si="19"/>
      </c>
      <c r="Q30" s="329">
        <f t="shared" si="7"/>
      </c>
      <c r="R30" s="16">
        <f t="shared" si="14"/>
        <v>41475</v>
      </c>
      <c r="S30" s="16">
        <f t="shared" si="15"/>
        <v>41506</v>
      </c>
      <c r="T30" s="318">
        <f t="shared" si="20"/>
      </c>
    </row>
    <row r="31" spans="2:20" ht="18" customHeight="1">
      <c r="B31" s="15" t="s">
        <v>383</v>
      </c>
      <c r="C31" s="403"/>
      <c r="E31" s="13">
        <f t="shared" si="16"/>
      </c>
      <c r="F31" s="16">
        <f t="shared" si="8"/>
        <v>40380</v>
      </c>
      <c r="G31" s="16">
        <f t="shared" si="9"/>
        <v>40411</v>
      </c>
      <c r="H31" s="318">
        <f t="shared" si="17"/>
      </c>
      <c r="I31" s="13">
        <f t="shared" si="5"/>
      </c>
      <c r="J31" s="16">
        <f t="shared" si="10"/>
        <v>40745</v>
      </c>
      <c r="K31" s="16">
        <f t="shared" si="11"/>
        <v>40776</v>
      </c>
      <c r="L31" s="328">
        <f t="shared" si="18"/>
        <v>1</v>
      </c>
      <c r="M31" s="329">
        <f t="shared" si="6"/>
      </c>
      <c r="N31" s="16">
        <f t="shared" si="12"/>
        <v>41111</v>
      </c>
      <c r="O31" s="16">
        <f t="shared" si="13"/>
        <v>41142</v>
      </c>
      <c r="P31" s="328">
        <f t="shared" si="19"/>
      </c>
      <c r="Q31" s="329">
        <f t="shared" si="7"/>
        <v>1</v>
      </c>
      <c r="R31" s="16">
        <f t="shared" si="14"/>
        <v>41476</v>
      </c>
      <c r="S31" s="16">
        <f t="shared" si="15"/>
        <v>41507</v>
      </c>
      <c r="T31" s="318">
        <f t="shared" si="20"/>
      </c>
    </row>
    <row r="32" spans="2:20" ht="18" customHeight="1">
      <c r="B32" s="15" t="s">
        <v>384</v>
      </c>
      <c r="C32" s="403"/>
      <c r="E32" s="13">
        <f t="shared" si="16"/>
      </c>
      <c r="F32" s="16">
        <f t="shared" si="8"/>
        <v>40381</v>
      </c>
      <c r="G32" s="16">
        <f t="shared" si="9"/>
        <v>40412</v>
      </c>
      <c r="H32" s="318">
        <f t="shared" si="17"/>
        <v>1</v>
      </c>
      <c r="I32" s="13">
        <f t="shared" si="5"/>
      </c>
      <c r="J32" s="16">
        <f t="shared" si="10"/>
        <v>40746</v>
      </c>
      <c r="K32" s="16">
        <f t="shared" si="11"/>
        <v>40777</v>
      </c>
      <c r="L32" s="328">
        <f t="shared" si="18"/>
      </c>
      <c r="M32" s="329">
        <f t="shared" si="6"/>
        <v>1</v>
      </c>
      <c r="N32" s="16">
        <f t="shared" si="12"/>
        <v>41112</v>
      </c>
      <c r="O32" s="16">
        <f t="shared" si="13"/>
        <v>41143</v>
      </c>
      <c r="P32" s="328">
        <f t="shared" si="19"/>
      </c>
      <c r="Q32" s="329">
        <f t="shared" si="7"/>
      </c>
      <c r="R32" s="16">
        <f t="shared" si="14"/>
        <v>41477</v>
      </c>
      <c r="S32" s="16">
        <f t="shared" si="15"/>
        <v>41508</v>
      </c>
      <c r="T32" s="318">
        <f t="shared" si="20"/>
      </c>
    </row>
    <row r="33" spans="2:20" ht="18" customHeight="1">
      <c r="B33" s="15" t="s">
        <v>177</v>
      </c>
      <c r="C33" s="403"/>
      <c r="E33" s="13">
        <f t="shared" si="16"/>
      </c>
      <c r="F33" s="16">
        <f t="shared" si="8"/>
        <v>40382</v>
      </c>
      <c r="G33" s="16">
        <f t="shared" si="9"/>
        <v>40413</v>
      </c>
      <c r="H33" s="318">
        <f t="shared" si="17"/>
      </c>
      <c r="I33" s="13">
        <f t="shared" si="5"/>
      </c>
      <c r="J33" s="16">
        <f t="shared" si="10"/>
        <v>40747</v>
      </c>
      <c r="K33" s="16">
        <f t="shared" si="11"/>
        <v>40778</v>
      </c>
      <c r="L33" s="328">
        <f t="shared" si="18"/>
      </c>
      <c r="M33" s="329">
        <f t="shared" si="6"/>
      </c>
      <c r="N33" s="16">
        <f t="shared" si="12"/>
        <v>41113</v>
      </c>
      <c r="O33" s="16">
        <f t="shared" si="13"/>
        <v>41144</v>
      </c>
      <c r="P33" s="328">
        <f t="shared" si="19"/>
      </c>
      <c r="Q33" s="329">
        <f t="shared" si="7"/>
      </c>
      <c r="R33" s="16">
        <f t="shared" si="14"/>
        <v>41478</v>
      </c>
      <c r="S33" s="16">
        <f t="shared" si="15"/>
        <v>41509</v>
      </c>
      <c r="T33" s="318">
        <f t="shared" si="20"/>
      </c>
    </row>
    <row r="34" spans="2:20" ht="18" customHeight="1">
      <c r="B34" s="15" t="s">
        <v>85</v>
      </c>
      <c r="C34" s="403"/>
      <c r="E34" s="13">
        <f t="shared" si="16"/>
      </c>
      <c r="F34" s="16">
        <f t="shared" si="8"/>
        <v>40383</v>
      </c>
      <c r="G34" s="16">
        <f t="shared" si="9"/>
        <v>40414</v>
      </c>
      <c r="H34" s="318">
        <f t="shared" si="17"/>
      </c>
      <c r="I34" s="13">
        <f t="shared" si="5"/>
        <v>1</v>
      </c>
      <c r="J34" s="16">
        <f t="shared" si="10"/>
        <v>40748</v>
      </c>
      <c r="K34" s="16">
        <f t="shared" si="11"/>
        <v>40779</v>
      </c>
      <c r="L34" s="328">
        <f t="shared" si="18"/>
      </c>
      <c r="M34" s="329">
        <f t="shared" si="6"/>
      </c>
      <c r="N34" s="16">
        <f t="shared" si="12"/>
        <v>41114</v>
      </c>
      <c r="O34" s="16">
        <f t="shared" si="13"/>
        <v>41145</v>
      </c>
      <c r="P34" s="328">
        <f t="shared" si="19"/>
      </c>
      <c r="Q34" s="329">
        <f t="shared" si="7"/>
      </c>
      <c r="R34" s="16">
        <f t="shared" si="14"/>
        <v>41479</v>
      </c>
      <c r="S34" s="16">
        <f t="shared" si="15"/>
        <v>41510</v>
      </c>
      <c r="T34" s="318">
        <f t="shared" si="20"/>
      </c>
    </row>
    <row r="35" spans="2:20" ht="18" customHeight="1">
      <c r="B35" s="15" t="s">
        <v>306</v>
      </c>
      <c r="C35" s="403"/>
      <c r="E35" s="13">
        <f t="shared" si="16"/>
        <v>1</v>
      </c>
      <c r="F35" s="16">
        <f t="shared" si="8"/>
        <v>40384</v>
      </c>
      <c r="G35" s="16">
        <f t="shared" si="9"/>
        <v>40415</v>
      </c>
      <c r="H35" s="318">
        <f t="shared" si="17"/>
      </c>
      <c r="I35" s="13">
        <f t="shared" si="5"/>
      </c>
      <c r="J35" s="16">
        <f t="shared" si="10"/>
        <v>40749</v>
      </c>
      <c r="K35" s="16">
        <f t="shared" si="11"/>
        <v>40780</v>
      </c>
      <c r="L35" s="328">
        <f t="shared" si="18"/>
      </c>
      <c r="M35" s="329">
        <f t="shared" si="6"/>
      </c>
      <c r="N35" s="16">
        <f t="shared" si="12"/>
        <v>41115</v>
      </c>
      <c r="O35" s="16">
        <f t="shared" si="13"/>
        <v>41146</v>
      </c>
      <c r="P35" s="328">
        <f t="shared" si="19"/>
      </c>
      <c r="Q35" s="329">
        <f t="shared" si="7"/>
      </c>
      <c r="R35" s="16">
        <f t="shared" si="14"/>
        <v>41480</v>
      </c>
      <c r="S35" s="16">
        <f t="shared" si="15"/>
        <v>41511</v>
      </c>
      <c r="T35" s="318">
        <f t="shared" si="20"/>
        <v>1</v>
      </c>
    </row>
    <row r="36" spans="2:20" ht="18" customHeight="1">
      <c r="B36" s="15" t="s">
        <v>369</v>
      </c>
      <c r="C36" s="403"/>
      <c r="E36" s="13">
        <f t="shared" si="16"/>
      </c>
      <c r="F36" s="16">
        <f t="shared" si="8"/>
        <v>40385</v>
      </c>
      <c r="G36" s="16">
        <f t="shared" si="9"/>
        <v>40416</v>
      </c>
      <c r="H36" s="318">
        <f t="shared" si="17"/>
      </c>
      <c r="I36" s="13">
        <f t="shared" si="5"/>
      </c>
      <c r="J36" s="16">
        <f t="shared" si="10"/>
        <v>40750</v>
      </c>
      <c r="K36" s="16">
        <f t="shared" si="11"/>
        <v>40781</v>
      </c>
      <c r="L36" s="328">
        <f t="shared" si="18"/>
      </c>
      <c r="M36" s="329">
        <f t="shared" si="6"/>
      </c>
      <c r="N36" s="16">
        <f t="shared" si="12"/>
        <v>41116</v>
      </c>
      <c r="O36" s="16">
        <f t="shared" si="13"/>
        <v>41147</v>
      </c>
      <c r="P36" s="328">
        <f t="shared" si="19"/>
        <v>1</v>
      </c>
      <c r="Q36" s="329">
        <f t="shared" si="7"/>
      </c>
      <c r="R36" s="16">
        <f t="shared" si="14"/>
        <v>41481</v>
      </c>
      <c r="S36" s="16">
        <f t="shared" si="15"/>
        <v>41512</v>
      </c>
      <c r="T36" s="318">
        <f t="shared" si="20"/>
      </c>
    </row>
    <row r="37" spans="2:20" ht="18" customHeight="1">
      <c r="B37" s="15" t="s">
        <v>307</v>
      </c>
      <c r="C37" s="403"/>
      <c r="E37" s="13">
        <f t="shared" si="16"/>
      </c>
      <c r="F37" s="16">
        <f t="shared" si="8"/>
        <v>40386</v>
      </c>
      <c r="G37" s="16">
        <f t="shared" si="9"/>
        <v>40417</v>
      </c>
      <c r="H37" s="318">
        <f t="shared" si="17"/>
      </c>
      <c r="I37" s="13">
        <f t="shared" si="5"/>
      </c>
      <c r="J37" s="16">
        <f t="shared" si="10"/>
        <v>40751</v>
      </c>
      <c r="K37" s="16">
        <f t="shared" si="11"/>
        <v>40782</v>
      </c>
      <c r="L37" s="328">
        <f t="shared" si="18"/>
      </c>
      <c r="M37" s="329">
        <f t="shared" si="6"/>
      </c>
      <c r="N37" s="16">
        <f t="shared" si="12"/>
        <v>41117</v>
      </c>
      <c r="O37" s="16">
        <f t="shared" si="13"/>
        <v>41148</v>
      </c>
      <c r="P37" s="328">
        <f t="shared" si="19"/>
      </c>
      <c r="Q37" s="329">
        <f t="shared" si="7"/>
      </c>
      <c r="R37" s="16">
        <f t="shared" si="14"/>
        <v>41482</v>
      </c>
      <c r="S37" s="16">
        <f t="shared" si="15"/>
        <v>41513</v>
      </c>
      <c r="T37" s="318">
        <f t="shared" si="20"/>
      </c>
    </row>
    <row r="38" spans="2:20" ht="18" customHeight="1">
      <c r="B38" s="15" t="s">
        <v>355</v>
      </c>
      <c r="C38" s="403"/>
      <c r="E38" s="13">
        <f t="shared" si="16"/>
      </c>
      <c r="F38" s="16">
        <f t="shared" si="8"/>
        <v>40387</v>
      </c>
      <c r="G38" s="16">
        <f t="shared" si="9"/>
        <v>40418</v>
      </c>
      <c r="H38" s="318">
        <f t="shared" si="17"/>
      </c>
      <c r="I38" s="13">
        <f t="shared" si="5"/>
      </c>
      <c r="J38" s="16">
        <f t="shared" si="10"/>
        <v>40752</v>
      </c>
      <c r="K38" s="16">
        <f t="shared" si="11"/>
        <v>40783</v>
      </c>
      <c r="L38" s="328">
        <f t="shared" si="18"/>
        <v>1</v>
      </c>
      <c r="M38" s="329">
        <f t="shared" si="6"/>
      </c>
      <c r="N38" s="16">
        <f t="shared" si="12"/>
        <v>41118</v>
      </c>
      <c r="O38" s="16">
        <f t="shared" si="13"/>
        <v>41149</v>
      </c>
      <c r="P38" s="328">
        <f t="shared" si="19"/>
      </c>
      <c r="Q38" s="329">
        <f t="shared" si="7"/>
        <v>1</v>
      </c>
      <c r="R38" s="16">
        <f t="shared" si="14"/>
        <v>41483</v>
      </c>
      <c r="S38" s="16">
        <f t="shared" si="15"/>
        <v>41514</v>
      </c>
      <c r="T38" s="318">
        <f t="shared" si="20"/>
      </c>
    </row>
    <row r="39" spans="2:20" ht="18" customHeight="1">
      <c r="B39" s="15" t="s">
        <v>356</v>
      </c>
      <c r="C39" s="403"/>
      <c r="E39" s="13">
        <f t="shared" si="16"/>
      </c>
      <c r="F39" s="16">
        <f t="shared" si="8"/>
        <v>40388</v>
      </c>
      <c r="G39" s="16">
        <f t="shared" si="9"/>
        <v>40419</v>
      </c>
      <c r="H39" s="318">
        <f t="shared" si="17"/>
        <v>1</v>
      </c>
      <c r="I39" s="13">
        <f t="shared" si="5"/>
      </c>
      <c r="J39" s="16">
        <f t="shared" si="10"/>
        <v>40753</v>
      </c>
      <c r="K39" s="16">
        <f t="shared" si="11"/>
        <v>40784</v>
      </c>
      <c r="L39" s="328">
        <f t="shared" si="18"/>
      </c>
      <c r="M39" s="329">
        <f t="shared" si="6"/>
        <v>1</v>
      </c>
      <c r="N39" s="16">
        <f t="shared" si="12"/>
        <v>41119</v>
      </c>
      <c r="O39" s="16">
        <f t="shared" si="13"/>
        <v>41150</v>
      </c>
      <c r="P39" s="328">
        <f t="shared" si="19"/>
      </c>
      <c r="Q39" s="329">
        <f t="shared" si="7"/>
      </c>
      <c r="R39" s="16">
        <f t="shared" si="14"/>
        <v>41484</v>
      </c>
      <c r="S39" s="16">
        <f t="shared" si="15"/>
        <v>41515</v>
      </c>
      <c r="T39" s="318">
        <f t="shared" si="20"/>
      </c>
    </row>
    <row r="40" spans="2:20" ht="18" customHeight="1">
      <c r="B40" s="15" t="s">
        <v>357</v>
      </c>
      <c r="C40" s="403"/>
      <c r="E40" s="13">
        <f t="shared" si="16"/>
      </c>
      <c r="F40" s="16">
        <f t="shared" si="8"/>
        <v>40389</v>
      </c>
      <c r="G40" s="16">
        <f t="shared" si="9"/>
        <v>40420</v>
      </c>
      <c r="H40" s="318">
        <f t="shared" si="17"/>
      </c>
      <c r="I40" s="13">
        <f t="shared" si="5"/>
      </c>
      <c r="J40" s="16">
        <f t="shared" si="10"/>
        <v>40754</v>
      </c>
      <c r="K40" s="16">
        <f t="shared" si="11"/>
        <v>40785</v>
      </c>
      <c r="L40" s="328">
        <f t="shared" si="18"/>
      </c>
      <c r="M40" s="329">
        <f t="shared" si="6"/>
      </c>
      <c r="N40" s="16">
        <f t="shared" si="12"/>
        <v>41120</v>
      </c>
      <c r="O40" s="16">
        <f t="shared" si="13"/>
        <v>41151</v>
      </c>
      <c r="P40" s="328">
        <f t="shared" si="19"/>
      </c>
      <c r="Q40" s="329">
        <f t="shared" si="7"/>
      </c>
      <c r="R40" s="16">
        <f t="shared" si="14"/>
        <v>41485</v>
      </c>
      <c r="S40" s="16">
        <f t="shared" si="15"/>
        <v>41516</v>
      </c>
      <c r="T40" s="318">
        <f t="shared" si="20"/>
      </c>
    </row>
    <row r="41" spans="2:11" ht="18" customHeight="1">
      <c r="B41" s="15" t="s">
        <v>358</v>
      </c>
      <c r="C41" s="403"/>
      <c r="K41" s="382"/>
    </row>
    <row r="42" spans="2:3" ht="18" customHeight="1">
      <c r="B42" s="15" t="s">
        <v>359</v>
      </c>
      <c r="C42" s="403"/>
    </row>
    <row r="44" spans="2:6" ht="18" customHeight="1">
      <c r="B44" s="17" t="s">
        <v>353</v>
      </c>
      <c r="C44" s="20" t="s">
        <v>115</v>
      </c>
      <c r="F44" s="13" t="s">
        <v>418</v>
      </c>
    </row>
    <row r="45" spans="2:3" ht="18" customHeight="1">
      <c r="B45" s="17" t="s">
        <v>112</v>
      </c>
      <c r="C45" s="404"/>
    </row>
    <row r="46" spans="2:7" ht="18" customHeight="1">
      <c r="B46" s="19" t="s">
        <v>350</v>
      </c>
      <c r="C46" s="405">
        <f>ROUNDUP((14980+19420+17120+22220+16020)/5,-3)</f>
        <v>18000</v>
      </c>
      <c r="F46" s="381">
        <f>ROUNDUP((22220+16020+14030+19510+17620)/5,-3)</f>
        <v>18000</v>
      </c>
      <c r="G46" s="381"/>
    </row>
    <row r="47" spans="2:3" ht="18" customHeight="1">
      <c r="B47" s="17" t="s">
        <v>113</v>
      </c>
      <c r="C47" s="406"/>
    </row>
    <row r="48" spans="2:7" ht="18" customHeight="1">
      <c r="B48" s="19" t="s">
        <v>351</v>
      </c>
      <c r="C48" s="407">
        <f>ROUNDUP((3690+3940+3970+2180+1500)/5,-2)</f>
        <v>3100</v>
      </c>
      <c r="F48" s="381">
        <f>ROUNDUP((2180+1500+2430+2060+4790)/5,-2)</f>
        <v>2600</v>
      </c>
      <c r="G48" s="381"/>
    </row>
    <row r="49" spans="2:3" ht="18" customHeight="1">
      <c r="B49" s="18" t="s">
        <v>114</v>
      </c>
      <c r="C49" s="408"/>
    </row>
    <row r="50" spans="2:6" ht="17.25" customHeight="1">
      <c r="B50" s="19" t="s">
        <v>352</v>
      </c>
      <c r="C50" s="407">
        <f>ROUNDUP((25.9+50.6+29.6+28+22.8)/5,0)</f>
        <v>32</v>
      </c>
      <c r="F50" s="381">
        <f>ROUNDUP((28+22.8+23.58+25.62+27.72)/5,0)</f>
        <v>26</v>
      </c>
    </row>
    <row r="52" ht="18" customHeight="1">
      <c r="B52" s="13" t="s">
        <v>415</v>
      </c>
    </row>
    <row r="53" ht="18" customHeight="1">
      <c r="B53" s="13" t="s">
        <v>417</v>
      </c>
    </row>
    <row r="54" ht="18" customHeight="1">
      <c r="B54" s="13" t="s">
        <v>416</v>
      </c>
    </row>
  </sheetData>
  <sheetProtection/>
  <mergeCells count="2">
    <mergeCell ref="B27:B30"/>
    <mergeCell ref="C27:C30"/>
  </mergeCells>
  <conditionalFormatting sqref="J10:L40 K13:K41 R10:S40 F10:H40 N10:P40">
    <cfRule type="expression" priority="5" dxfId="57" stopIfTrue="1">
      <formula>WEEKDAY(F10)=7</formula>
    </cfRule>
    <cfRule type="expression" priority="6" dxfId="58" stopIfTrue="1">
      <formula>WEEKDAY(F10)=1</formula>
    </cfRule>
  </conditionalFormatting>
  <conditionalFormatting sqref="T22:T25">
    <cfRule type="expression" priority="3" dxfId="57" stopIfTrue="1">
      <formula>WEEKDAY(T22)=7</formula>
    </cfRule>
    <cfRule type="expression" priority="4" dxfId="58" stopIfTrue="1">
      <formula>WEEKDAY(T22)=1</formula>
    </cfRule>
  </conditionalFormatting>
  <conditionalFormatting sqref="T10:T40">
    <cfRule type="expression" priority="1" dxfId="57" stopIfTrue="1">
      <formula>WEEKDAY(T10)=7</formula>
    </cfRule>
    <cfRule type="expression" priority="2" dxfId="58" stopIfTrue="1">
      <formula>WEEKDAY(T10)=1</formula>
    </cfRule>
  </conditionalFormatting>
  <printOptions horizontalCentered="1" verticalCentered="1"/>
  <pageMargins left="0.1968503937007874" right="0.1968503937007874" top="0" bottom="0" header="0.5118110236220472" footer="0.1968503937007874"/>
  <pageSetup orientation="portrait" paperSize="9" scale="95" r:id="rId1"/>
  <colBreaks count="2" manualBreakCount="2">
    <brk id="4" min="2" max="40" man="1"/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I10" sqref="I10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6</v>
      </c>
      <c r="C2" s="171"/>
      <c r="D2" s="172" t="s">
        <v>433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3" t="s">
        <v>209</v>
      </c>
      <c r="C5" s="182" t="s">
        <v>146</v>
      </c>
      <c r="D5" s="181" t="s">
        <v>258</v>
      </c>
      <c r="E5" s="181" t="s">
        <v>228</v>
      </c>
      <c r="F5" s="183">
        <f>'基本単価表入力表'!O5</f>
        <v>13</v>
      </c>
      <c r="G5" s="184"/>
      <c r="H5" s="184"/>
      <c r="I5" s="342">
        <v>5</v>
      </c>
    </row>
    <row r="6" spans="2:9" ht="27.75" customHeight="1">
      <c r="B6" s="383" t="s">
        <v>209</v>
      </c>
      <c r="C6" s="182" t="s">
        <v>262</v>
      </c>
      <c r="D6" s="181" t="s">
        <v>259</v>
      </c>
      <c r="E6" s="181" t="s">
        <v>228</v>
      </c>
      <c r="F6" s="183">
        <f>2*49</f>
        <v>98</v>
      </c>
      <c r="G6" s="184"/>
      <c r="H6" s="184"/>
      <c r="I6" s="342">
        <v>5</v>
      </c>
    </row>
    <row r="7" spans="2:9" ht="27.75" customHeight="1">
      <c r="B7" s="383" t="s">
        <v>0</v>
      </c>
      <c r="C7" s="182"/>
      <c r="D7" s="181" t="s">
        <v>434</v>
      </c>
      <c r="E7" s="181" t="s">
        <v>228</v>
      </c>
      <c r="F7" s="183">
        <f>2*SUM('基本単価表入力表'!N5:N6)</f>
        <v>34</v>
      </c>
      <c r="G7" s="186"/>
      <c r="H7" s="184"/>
      <c r="I7" s="185"/>
    </row>
    <row r="8" spans="2:9" ht="27.75" customHeight="1">
      <c r="B8" s="383" t="s">
        <v>1</v>
      </c>
      <c r="C8" s="182" t="s">
        <v>233</v>
      </c>
      <c r="D8" s="182" t="s">
        <v>261</v>
      </c>
      <c r="E8" s="181" t="s">
        <v>228</v>
      </c>
      <c r="F8" s="183">
        <f>2*'基本単価表入力表'!O4</f>
        <v>8</v>
      </c>
      <c r="G8" s="184"/>
      <c r="H8" s="184"/>
      <c r="I8" s="185"/>
    </row>
    <row r="9" spans="2:9" ht="27.75" customHeight="1">
      <c r="B9" s="383" t="s">
        <v>110</v>
      </c>
      <c r="C9" s="182" t="s">
        <v>96</v>
      </c>
      <c r="D9" s="187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181"/>
      <c r="C10" s="182"/>
      <c r="D10" s="181"/>
      <c r="E10" s="181"/>
      <c r="F10" s="183"/>
      <c r="G10" s="184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8"/>
      <c r="F15" s="189"/>
      <c r="G15" s="186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1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I10" sqref="I10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7</v>
      </c>
      <c r="C2" s="171"/>
      <c r="D2" s="172" t="s">
        <v>437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3" t="s">
        <v>209</v>
      </c>
      <c r="C5" s="182" t="s">
        <v>146</v>
      </c>
      <c r="D5" s="181" t="s">
        <v>258</v>
      </c>
      <c r="E5" s="181" t="s">
        <v>228</v>
      </c>
      <c r="F5" s="183">
        <f>'基本単価表入力表'!O5</f>
        <v>13</v>
      </c>
      <c r="G5" s="184"/>
      <c r="H5" s="184"/>
      <c r="I5" s="342">
        <v>5</v>
      </c>
    </row>
    <row r="6" spans="2:9" ht="27.75" customHeight="1">
      <c r="B6" s="383" t="s">
        <v>209</v>
      </c>
      <c r="C6" s="182" t="s">
        <v>262</v>
      </c>
      <c r="D6" s="181" t="s">
        <v>259</v>
      </c>
      <c r="E6" s="181" t="s">
        <v>228</v>
      </c>
      <c r="F6" s="183">
        <f>2*49</f>
        <v>98</v>
      </c>
      <c r="G6" s="184"/>
      <c r="H6" s="184"/>
      <c r="I6" s="342">
        <v>5</v>
      </c>
    </row>
    <row r="7" spans="2:9" ht="27.75" customHeight="1">
      <c r="B7" s="383" t="s">
        <v>0</v>
      </c>
      <c r="C7" s="182"/>
      <c r="D7" s="181" t="s">
        <v>436</v>
      </c>
      <c r="E7" s="181" t="s">
        <v>228</v>
      </c>
      <c r="F7" s="183">
        <f>2*18</f>
        <v>36</v>
      </c>
      <c r="G7" s="186"/>
      <c r="H7" s="184"/>
      <c r="I7" s="185"/>
    </row>
    <row r="8" spans="2:9" ht="27.75" customHeight="1">
      <c r="B8" s="383" t="s">
        <v>1</v>
      </c>
      <c r="C8" s="182" t="s">
        <v>233</v>
      </c>
      <c r="D8" s="182" t="s">
        <v>261</v>
      </c>
      <c r="E8" s="181" t="s">
        <v>228</v>
      </c>
      <c r="F8" s="183">
        <f>2*'基本単価表入力表'!O4</f>
        <v>8</v>
      </c>
      <c r="G8" s="184"/>
      <c r="H8" s="184"/>
      <c r="I8" s="185"/>
    </row>
    <row r="9" spans="2:9" ht="27.75" customHeight="1">
      <c r="B9" s="383" t="s">
        <v>110</v>
      </c>
      <c r="C9" s="182" t="s">
        <v>96</v>
      </c>
      <c r="D9" s="187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181"/>
      <c r="C10" s="182"/>
      <c r="D10" s="181"/>
      <c r="E10" s="181"/>
      <c r="F10" s="183"/>
      <c r="G10" s="184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8"/>
      <c r="F15" s="189"/>
      <c r="G15" s="186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1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I10" sqref="I10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8</v>
      </c>
      <c r="C2" s="171"/>
      <c r="D2" s="172" t="s">
        <v>400</v>
      </c>
      <c r="E2" s="173"/>
      <c r="F2" s="174"/>
      <c r="G2" s="174"/>
      <c r="H2" s="391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182" t="s">
        <v>20</v>
      </c>
      <c r="C5" s="182" t="s">
        <v>108</v>
      </c>
      <c r="D5" s="182" t="s">
        <v>265</v>
      </c>
      <c r="E5" s="181" t="s">
        <v>228</v>
      </c>
      <c r="F5" s="183">
        <f>3*'基本単価表入力表'!F4</f>
        <v>186</v>
      </c>
      <c r="G5" s="184"/>
      <c r="H5" s="184"/>
      <c r="I5" s="342">
        <v>4</v>
      </c>
    </row>
    <row r="6" spans="2:9" ht="27.75" customHeight="1">
      <c r="B6" s="181" t="s">
        <v>21</v>
      </c>
      <c r="C6" s="182" t="s">
        <v>146</v>
      </c>
      <c r="D6" s="181" t="s">
        <v>349</v>
      </c>
      <c r="E6" s="181" t="s">
        <v>228</v>
      </c>
      <c r="F6" s="183">
        <f>8*'基本単価表入力表'!G5</f>
        <v>112</v>
      </c>
      <c r="G6" s="184"/>
      <c r="H6" s="184"/>
      <c r="I6" s="342">
        <v>7</v>
      </c>
    </row>
    <row r="7" spans="2:9" ht="27.75" customHeight="1">
      <c r="B7" s="181" t="s">
        <v>21</v>
      </c>
      <c r="C7" s="182" t="s">
        <v>147</v>
      </c>
      <c r="D7" s="181" t="s">
        <v>266</v>
      </c>
      <c r="E7" s="181" t="s">
        <v>228</v>
      </c>
      <c r="F7" s="183">
        <f>9*'基本単価表入力表'!F7</f>
        <v>27</v>
      </c>
      <c r="G7" s="184"/>
      <c r="H7" s="184"/>
      <c r="I7" s="342">
        <v>7</v>
      </c>
    </row>
    <row r="8" spans="2:9" ht="27.75" customHeight="1">
      <c r="B8" s="181" t="s">
        <v>21</v>
      </c>
      <c r="C8" s="182" t="s">
        <v>148</v>
      </c>
      <c r="D8" s="195" t="s">
        <v>391</v>
      </c>
      <c r="E8" s="181" t="s">
        <v>228</v>
      </c>
      <c r="F8" s="183">
        <f>12*35</f>
        <v>420</v>
      </c>
      <c r="G8" s="186"/>
      <c r="H8" s="184"/>
      <c r="I8" s="342">
        <v>7</v>
      </c>
    </row>
    <row r="9" spans="2:9" ht="27.75" customHeight="1">
      <c r="B9" s="181" t="s">
        <v>21</v>
      </c>
      <c r="C9" s="182" t="s">
        <v>270</v>
      </c>
      <c r="D9" s="182" t="s">
        <v>268</v>
      </c>
      <c r="E9" s="181" t="s">
        <v>228</v>
      </c>
      <c r="F9" s="183">
        <f>13*'基本単価表入力表'!F5</f>
        <v>130</v>
      </c>
      <c r="G9" s="184"/>
      <c r="H9" s="184"/>
      <c r="I9" s="342">
        <v>7</v>
      </c>
    </row>
    <row r="10" spans="2:9" ht="27.75" customHeight="1">
      <c r="B10" s="181" t="s">
        <v>0</v>
      </c>
      <c r="C10" s="182"/>
      <c r="D10" s="327" t="s">
        <v>438</v>
      </c>
      <c r="E10" s="181" t="s">
        <v>228</v>
      </c>
      <c r="F10" s="183">
        <f>12*'基本単価表入力表'!F7+15*'基本単価表入力表'!F8+16*'基本単価表入力表'!F5</f>
        <v>271</v>
      </c>
      <c r="G10" s="184"/>
      <c r="H10" s="184"/>
      <c r="I10" s="185"/>
    </row>
    <row r="11" spans="2:9" ht="27.75" customHeight="1">
      <c r="B11" s="181" t="s">
        <v>1</v>
      </c>
      <c r="C11" s="182" t="s">
        <v>233</v>
      </c>
      <c r="D11" s="182" t="s">
        <v>271</v>
      </c>
      <c r="E11" s="181" t="s">
        <v>228</v>
      </c>
      <c r="F11" s="183">
        <f>15*'基本単価表入力表'!G7</f>
        <v>60</v>
      </c>
      <c r="G11" s="184"/>
      <c r="H11" s="184"/>
      <c r="I11" s="185"/>
    </row>
    <row r="12" spans="2:9" ht="27.75" customHeight="1">
      <c r="B12" s="181" t="s">
        <v>110</v>
      </c>
      <c r="C12" s="182" t="s">
        <v>38</v>
      </c>
      <c r="D12" s="187"/>
      <c r="E12" s="181" t="s">
        <v>100</v>
      </c>
      <c r="F12" s="183">
        <v>1</v>
      </c>
      <c r="G12" s="186"/>
      <c r="H12" s="184"/>
      <c r="I12" s="392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12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  <headerFooter alignWithMargins="0">
    <oddHeader>&amp;R&amp;"ＭＳ ゴシック,斜体"&amp;6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9</v>
      </c>
      <c r="C2" s="171"/>
      <c r="D2" s="172" t="s">
        <v>401</v>
      </c>
      <c r="E2" s="173"/>
      <c r="F2" s="174"/>
      <c r="G2" s="174"/>
      <c r="H2" s="388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20</v>
      </c>
      <c r="C5" s="182" t="s">
        <v>108</v>
      </c>
      <c r="D5" s="182" t="s">
        <v>265</v>
      </c>
      <c r="E5" s="181" t="s">
        <v>231</v>
      </c>
      <c r="F5" s="183">
        <f>3*'基本単価表入力表'!J4</f>
        <v>186</v>
      </c>
      <c r="G5" s="184">
        <f>'主任監視員単価'!H20</f>
        <v>0</v>
      </c>
      <c r="H5" s="184">
        <f>TRUNC(F5*G5)</f>
        <v>0</v>
      </c>
      <c r="I5" s="342">
        <v>4</v>
      </c>
    </row>
    <row r="6" spans="2:9" ht="27.75" customHeight="1">
      <c r="B6" s="383" t="s">
        <v>21</v>
      </c>
      <c r="C6" s="182" t="s">
        <v>146</v>
      </c>
      <c r="D6" s="181" t="s">
        <v>348</v>
      </c>
      <c r="E6" s="181" t="s">
        <v>231</v>
      </c>
      <c r="F6" s="183">
        <v>104</v>
      </c>
      <c r="G6" s="184">
        <f>'監視員単価'!H20</f>
        <v>0</v>
      </c>
      <c r="H6" s="184">
        <f aca="true" t="shared" si="0" ref="H6:H11">TRUNC(F6*G6)</f>
        <v>0</v>
      </c>
      <c r="I6" s="342">
        <v>7</v>
      </c>
    </row>
    <row r="7" spans="2:9" ht="27.75" customHeight="1">
      <c r="B7" s="383" t="s">
        <v>21</v>
      </c>
      <c r="C7" s="182" t="s">
        <v>147</v>
      </c>
      <c r="D7" s="181" t="s">
        <v>266</v>
      </c>
      <c r="E7" s="181" t="s">
        <v>231</v>
      </c>
      <c r="F7" s="183">
        <f>9*'基本単価表入力表'!J7</f>
        <v>27</v>
      </c>
      <c r="G7" s="184">
        <f>'監視員単価'!H20</f>
        <v>0</v>
      </c>
      <c r="H7" s="184">
        <f t="shared" si="0"/>
        <v>0</v>
      </c>
      <c r="I7" s="342">
        <v>7</v>
      </c>
    </row>
    <row r="8" spans="2:9" ht="27.75" customHeight="1">
      <c r="B8" s="383" t="s">
        <v>21</v>
      </c>
      <c r="C8" s="182" t="s">
        <v>148</v>
      </c>
      <c r="D8" s="195" t="s">
        <v>267</v>
      </c>
      <c r="E8" s="181" t="s">
        <v>231</v>
      </c>
      <c r="F8" s="183">
        <v>432</v>
      </c>
      <c r="G8" s="186">
        <f>'監視員単価'!H20</f>
        <v>0</v>
      </c>
      <c r="H8" s="184">
        <f t="shared" si="0"/>
        <v>0</v>
      </c>
      <c r="I8" s="342">
        <v>7</v>
      </c>
    </row>
    <row r="9" spans="2:9" ht="27.75" customHeight="1">
      <c r="B9" s="383" t="s">
        <v>21</v>
      </c>
      <c r="C9" s="182" t="s">
        <v>270</v>
      </c>
      <c r="D9" s="182" t="s">
        <v>268</v>
      </c>
      <c r="E9" s="181" t="s">
        <v>231</v>
      </c>
      <c r="F9" s="183">
        <v>130</v>
      </c>
      <c r="G9" s="184">
        <f>'監視員単価'!H20</f>
        <v>0</v>
      </c>
      <c r="H9" s="184">
        <f t="shared" si="0"/>
        <v>0</v>
      </c>
      <c r="I9" s="342">
        <v>7</v>
      </c>
    </row>
    <row r="10" spans="2:9" ht="27.75" customHeight="1">
      <c r="B10" s="383" t="s">
        <v>0</v>
      </c>
      <c r="C10" s="182"/>
      <c r="D10" s="327" t="s">
        <v>439</v>
      </c>
      <c r="E10" s="181" t="s">
        <v>231</v>
      </c>
      <c r="F10" s="183">
        <f>12*'基本単価表入力表'!J7+15*'基本単価表入力表'!J8+16*'基本単価表入力表'!J5</f>
        <v>255</v>
      </c>
      <c r="G10" s="184">
        <f>'基本単価表入力表'!C18</f>
        <v>0</v>
      </c>
      <c r="H10" s="184">
        <f t="shared" si="0"/>
        <v>0</v>
      </c>
      <c r="I10" s="185"/>
    </row>
    <row r="11" spans="2:9" ht="27.75" customHeight="1">
      <c r="B11" s="383" t="s">
        <v>1</v>
      </c>
      <c r="C11" s="182" t="s">
        <v>234</v>
      </c>
      <c r="D11" s="182" t="s">
        <v>269</v>
      </c>
      <c r="E11" s="181" t="s">
        <v>231</v>
      </c>
      <c r="F11" s="183">
        <f>15*'基本単価表入力表'!K7+16*'基本単価表入力表'!K8</f>
        <v>61</v>
      </c>
      <c r="G11" s="184">
        <f>'基本単価表入力表'!C19</f>
        <v>0</v>
      </c>
      <c r="H11" s="184">
        <f t="shared" si="0"/>
        <v>0</v>
      </c>
      <c r="I11" s="185"/>
    </row>
    <row r="12" spans="2:9" ht="27.75" customHeight="1">
      <c r="B12" s="383" t="s">
        <v>110</v>
      </c>
      <c r="C12" s="182" t="s">
        <v>38</v>
      </c>
      <c r="D12" s="187"/>
      <c r="E12" s="181" t="s">
        <v>100</v>
      </c>
      <c r="F12" s="183">
        <v>1</v>
      </c>
      <c r="G12" s="186" t="s">
        <v>252</v>
      </c>
      <c r="H12" s="184">
        <f>TRUNC(SUM(H5:H11)*I12)</f>
        <v>0</v>
      </c>
      <c r="I12" s="392">
        <v>0.1</v>
      </c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>
        <f>SUM(H5:H19)</f>
        <v>0</v>
      </c>
      <c r="I20" s="185" t="s">
        <v>254</v>
      </c>
    </row>
    <row r="21" ht="4.5" customHeight="1"/>
    <row r="22" ht="27.75" customHeight="1">
      <c r="E22" s="371">
        <f>'基本単価表入力表'!C1</f>
        <v>1</v>
      </c>
    </row>
  </sheetData>
  <sheetProtection/>
  <conditionalFormatting sqref="G5:H20 I12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  <headerFooter alignWithMargins="0">
    <oddHeader>&amp;R&amp;"ＭＳ ゴシック,斜体"&amp;6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10</v>
      </c>
      <c r="C2" s="171"/>
      <c r="D2" s="172" t="s">
        <v>440</v>
      </c>
      <c r="E2" s="173"/>
      <c r="F2" s="174"/>
      <c r="G2" s="174"/>
      <c r="H2" s="388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211</v>
      </c>
      <c r="C5" s="182" t="s">
        <v>108</v>
      </c>
      <c r="D5" s="182" t="s">
        <v>272</v>
      </c>
      <c r="E5" s="181" t="s">
        <v>228</v>
      </c>
      <c r="F5" s="183">
        <f>2*'基本単価表入力表'!F4</f>
        <v>124</v>
      </c>
      <c r="G5" s="184"/>
      <c r="H5" s="184"/>
      <c r="I5" s="342">
        <v>3</v>
      </c>
    </row>
    <row r="6" spans="2:9" ht="27.75" customHeight="1">
      <c r="B6" s="383" t="s">
        <v>0</v>
      </c>
      <c r="C6" s="182"/>
      <c r="D6" s="181" t="s">
        <v>432</v>
      </c>
      <c r="E6" s="181" t="s">
        <v>228</v>
      </c>
      <c r="F6" s="183">
        <f>2*SUM('基本単価表入力表'!F5:F6)</f>
        <v>36</v>
      </c>
      <c r="G6" s="184"/>
      <c r="H6" s="184"/>
      <c r="I6" s="342"/>
    </row>
    <row r="7" spans="2:9" ht="27.75" customHeight="1">
      <c r="B7" s="383" t="s">
        <v>1</v>
      </c>
      <c r="C7" s="182" t="s">
        <v>233</v>
      </c>
      <c r="D7" s="181" t="s">
        <v>261</v>
      </c>
      <c r="E7" s="181" t="s">
        <v>228</v>
      </c>
      <c r="F7" s="183">
        <f>2*'基本単価表入力表'!G4</f>
        <v>8</v>
      </c>
      <c r="G7" s="184"/>
      <c r="H7" s="184"/>
      <c r="I7" s="342"/>
    </row>
    <row r="8" spans="2:9" ht="27.75" customHeight="1">
      <c r="B8" s="383" t="s">
        <v>110</v>
      </c>
      <c r="C8" s="182" t="s">
        <v>37</v>
      </c>
      <c r="D8" s="187"/>
      <c r="E8" s="181" t="s">
        <v>100</v>
      </c>
      <c r="F8" s="183">
        <v>1</v>
      </c>
      <c r="G8" s="186"/>
      <c r="H8" s="184"/>
      <c r="I8" s="393"/>
    </row>
    <row r="9" spans="2:9" ht="27.75" customHeight="1">
      <c r="B9" s="181"/>
      <c r="C9" s="182"/>
      <c r="D9" s="181"/>
      <c r="E9" s="181"/>
      <c r="F9" s="183"/>
      <c r="G9" s="184"/>
      <c r="H9" s="184"/>
      <c r="I9" s="342"/>
    </row>
    <row r="10" spans="2:9" ht="27.75" customHeight="1">
      <c r="B10" s="181"/>
      <c r="C10" s="182"/>
      <c r="D10" s="181"/>
      <c r="E10" s="181"/>
      <c r="F10" s="183"/>
      <c r="G10" s="184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8"/>
      <c r="F19" s="189"/>
      <c r="G19" s="186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8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11</v>
      </c>
      <c r="C2" s="171"/>
      <c r="D2" s="172" t="s">
        <v>441</v>
      </c>
      <c r="E2" s="173"/>
      <c r="F2" s="174"/>
      <c r="G2" s="174"/>
      <c r="H2" s="388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211</v>
      </c>
      <c r="C5" s="182" t="s">
        <v>108</v>
      </c>
      <c r="D5" s="182" t="s">
        <v>272</v>
      </c>
      <c r="E5" s="181" t="s">
        <v>228</v>
      </c>
      <c r="F5" s="183">
        <f>2*'基本単価表入力表'!F4</f>
        <v>124</v>
      </c>
      <c r="G5" s="184"/>
      <c r="H5" s="184"/>
      <c r="I5" s="342">
        <v>3</v>
      </c>
    </row>
    <row r="6" spans="2:9" ht="27.75" customHeight="1">
      <c r="B6" s="383" t="s">
        <v>0</v>
      </c>
      <c r="C6" s="182"/>
      <c r="D6" s="181" t="s">
        <v>434</v>
      </c>
      <c r="E6" s="181" t="s">
        <v>228</v>
      </c>
      <c r="F6" s="183">
        <f>2*17</f>
        <v>34</v>
      </c>
      <c r="G6" s="184"/>
      <c r="H6" s="184"/>
      <c r="I6" s="342"/>
    </row>
    <row r="7" spans="2:9" ht="27.75" customHeight="1">
      <c r="B7" s="383" t="s">
        <v>1</v>
      </c>
      <c r="C7" s="182" t="s">
        <v>233</v>
      </c>
      <c r="D7" s="181" t="s">
        <v>261</v>
      </c>
      <c r="E7" s="181" t="s">
        <v>228</v>
      </c>
      <c r="F7" s="183">
        <f>2*'基本単価表入力表'!G4</f>
        <v>8</v>
      </c>
      <c r="G7" s="184"/>
      <c r="H7" s="184"/>
      <c r="I7" s="342"/>
    </row>
    <row r="8" spans="2:9" ht="27.75" customHeight="1">
      <c r="B8" s="383" t="s">
        <v>110</v>
      </c>
      <c r="C8" s="182" t="s">
        <v>37</v>
      </c>
      <c r="D8" s="187"/>
      <c r="E8" s="181" t="s">
        <v>100</v>
      </c>
      <c r="F8" s="183">
        <v>1</v>
      </c>
      <c r="G8" s="186"/>
      <c r="H8" s="184"/>
      <c r="I8" s="393"/>
    </row>
    <row r="9" spans="2:9" ht="27.75" customHeight="1">
      <c r="B9" s="181"/>
      <c r="C9" s="182"/>
      <c r="D9" s="181"/>
      <c r="E9" s="181"/>
      <c r="F9" s="183"/>
      <c r="G9" s="184"/>
      <c r="H9" s="184"/>
      <c r="I9" s="342"/>
    </row>
    <row r="10" spans="2:9" ht="27.75" customHeight="1">
      <c r="B10" s="181"/>
      <c r="C10" s="182"/>
      <c r="D10" s="181"/>
      <c r="E10" s="181"/>
      <c r="F10" s="183"/>
      <c r="G10" s="184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8"/>
      <c r="F19" s="189"/>
      <c r="G19" s="186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8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12</v>
      </c>
      <c r="C2" s="171"/>
      <c r="D2" s="172" t="s">
        <v>402</v>
      </c>
      <c r="E2" s="173"/>
      <c r="F2" s="174"/>
      <c r="G2" s="174"/>
      <c r="H2" s="391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149</v>
      </c>
      <c r="C5" s="182" t="s">
        <v>108</v>
      </c>
      <c r="D5" s="182" t="s">
        <v>272</v>
      </c>
      <c r="E5" s="181" t="s">
        <v>228</v>
      </c>
      <c r="F5" s="183">
        <f>2*'基本単価表入力表'!F4</f>
        <v>124</v>
      </c>
      <c r="G5" s="184"/>
      <c r="H5" s="184"/>
      <c r="I5" s="342">
        <v>2</v>
      </c>
    </row>
    <row r="6" spans="2:9" ht="27.75" customHeight="1">
      <c r="B6" s="383" t="s">
        <v>150</v>
      </c>
      <c r="C6" s="182" t="s">
        <v>146</v>
      </c>
      <c r="D6" s="181" t="s">
        <v>277</v>
      </c>
      <c r="E6" s="181" t="s">
        <v>228</v>
      </c>
      <c r="F6" s="183">
        <f>'基本単価表入力表'!G5</f>
        <v>14</v>
      </c>
      <c r="G6" s="184"/>
      <c r="H6" s="184"/>
      <c r="I6" s="342">
        <v>10</v>
      </c>
    </row>
    <row r="7" spans="2:9" ht="27.75" customHeight="1">
      <c r="B7" s="383" t="s">
        <v>150</v>
      </c>
      <c r="C7" s="182" t="s">
        <v>151</v>
      </c>
      <c r="D7" s="196" t="s">
        <v>278</v>
      </c>
      <c r="E7" s="181" t="s">
        <v>228</v>
      </c>
      <c r="F7" s="183">
        <f>2*38</f>
        <v>76</v>
      </c>
      <c r="G7" s="184"/>
      <c r="H7" s="184"/>
      <c r="I7" s="342">
        <v>10</v>
      </c>
    </row>
    <row r="8" spans="2:9" ht="27.75" customHeight="1">
      <c r="B8" s="383" t="s">
        <v>150</v>
      </c>
      <c r="C8" s="182" t="s">
        <v>152</v>
      </c>
      <c r="D8" s="181" t="s">
        <v>275</v>
      </c>
      <c r="E8" s="181" t="s">
        <v>228</v>
      </c>
      <c r="F8" s="183">
        <f>3*'基本単価表入力表'!F5</f>
        <v>30</v>
      </c>
      <c r="G8" s="186"/>
      <c r="H8" s="184"/>
      <c r="I8" s="342">
        <v>10</v>
      </c>
    </row>
    <row r="9" spans="2:9" ht="27.75" customHeight="1">
      <c r="B9" s="383" t="s">
        <v>99</v>
      </c>
      <c r="C9" s="182" t="s">
        <v>108</v>
      </c>
      <c r="D9" s="182" t="s">
        <v>256</v>
      </c>
      <c r="E9" s="181" t="s">
        <v>228</v>
      </c>
      <c r="F9" s="183">
        <f>'基本単価表入力表'!F4</f>
        <v>62</v>
      </c>
      <c r="G9" s="184"/>
      <c r="H9" s="184"/>
      <c r="I9" s="185" t="s">
        <v>216</v>
      </c>
    </row>
    <row r="10" spans="2:9" ht="27.75" customHeight="1">
      <c r="B10" s="383" t="s">
        <v>0</v>
      </c>
      <c r="C10" s="182"/>
      <c r="D10" s="327" t="s">
        <v>442</v>
      </c>
      <c r="E10" s="181" t="s">
        <v>228</v>
      </c>
      <c r="F10" s="183">
        <f>4*'基本単価表入力表'!F7+5*'基本単価表入力表'!F8+6*'基本単価表入力表'!F5</f>
        <v>97</v>
      </c>
      <c r="G10" s="184"/>
      <c r="H10" s="184"/>
      <c r="I10" s="185"/>
    </row>
    <row r="11" spans="2:9" ht="27.75" customHeight="1">
      <c r="B11" s="383" t="s">
        <v>1</v>
      </c>
      <c r="C11" s="182" t="s">
        <v>230</v>
      </c>
      <c r="D11" s="182" t="s">
        <v>279</v>
      </c>
      <c r="E11" s="181" t="s">
        <v>228</v>
      </c>
      <c r="F11" s="183">
        <f>5*'基本単価表入力表'!G4</f>
        <v>20</v>
      </c>
      <c r="G11" s="184"/>
      <c r="H11" s="184"/>
      <c r="I11" s="185"/>
    </row>
    <row r="12" spans="2:9" ht="27.75" customHeight="1">
      <c r="B12" s="383" t="s">
        <v>110</v>
      </c>
      <c r="C12" s="182" t="s">
        <v>109</v>
      </c>
      <c r="D12" s="187"/>
      <c r="E12" s="181" t="s">
        <v>100</v>
      </c>
      <c r="F12" s="183">
        <v>1</v>
      </c>
      <c r="G12" s="186"/>
      <c r="H12" s="184"/>
      <c r="I12" s="334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12">
    <cfRule type="expression" priority="1" dxfId="59" stopIfTrue="1">
      <formula>$E$22=1</formula>
    </cfRule>
  </conditionalFormatting>
  <printOptions vertic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4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13</v>
      </c>
      <c r="C2" s="171"/>
      <c r="D2" s="172" t="s">
        <v>403</v>
      </c>
      <c r="E2" s="173"/>
      <c r="F2" s="174"/>
      <c r="G2" s="174"/>
      <c r="H2" s="388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149</v>
      </c>
      <c r="C5" s="182" t="s">
        <v>108</v>
      </c>
      <c r="D5" s="182" t="s">
        <v>272</v>
      </c>
      <c r="E5" s="181" t="s">
        <v>231</v>
      </c>
      <c r="F5" s="183">
        <f>2*'基本単価表入力表'!N4</f>
        <v>124</v>
      </c>
      <c r="G5" s="184"/>
      <c r="H5" s="184"/>
      <c r="I5" s="342">
        <v>2</v>
      </c>
    </row>
    <row r="6" spans="2:9" ht="27.75" customHeight="1">
      <c r="B6" s="383" t="s">
        <v>150</v>
      </c>
      <c r="C6" s="182" t="s">
        <v>146</v>
      </c>
      <c r="D6" s="181" t="s">
        <v>273</v>
      </c>
      <c r="E6" s="181" t="s">
        <v>231</v>
      </c>
      <c r="F6" s="183">
        <f>'基本単価表入力表'!O5</f>
        <v>13</v>
      </c>
      <c r="G6" s="184"/>
      <c r="H6" s="184"/>
      <c r="I6" s="342">
        <v>10</v>
      </c>
    </row>
    <row r="7" spans="2:9" ht="27.75" customHeight="1">
      <c r="B7" s="383" t="s">
        <v>150</v>
      </c>
      <c r="C7" s="182" t="s">
        <v>151</v>
      </c>
      <c r="D7" s="196" t="s">
        <v>274</v>
      </c>
      <c r="E7" s="181" t="s">
        <v>231</v>
      </c>
      <c r="F7" s="183">
        <f>2*39</f>
        <v>78</v>
      </c>
      <c r="G7" s="184"/>
      <c r="H7" s="184"/>
      <c r="I7" s="342">
        <v>10</v>
      </c>
    </row>
    <row r="8" spans="2:9" ht="27.75" customHeight="1">
      <c r="B8" s="383" t="s">
        <v>150</v>
      </c>
      <c r="C8" s="182" t="s">
        <v>152</v>
      </c>
      <c r="D8" s="181" t="s">
        <v>275</v>
      </c>
      <c r="E8" s="181" t="s">
        <v>231</v>
      </c>
      <c r="F8" s="183">
        <v>30</v>
      </c>
      <c r="G8" s="186"/>
      <c r="H8" s="184"/>
      <c r="I8" s="342">
        <v>10</v>
      </c>
    </row>
    <row r="9" spans="2:9" ht="27.75" customHeight="1">
      <c r="B9" s="383" t="s">
        <v>99</v>
      </c>
      <c r="C9" s="182" t="s">
        <v>108</v>
      </c>
      <c r="D9" s="182" t="s">
        <v>256</v>
      </c>
      <c r="E9" s="181" t="s">
        <v>231</v>
      </c>
      <c r="F9" s="183">
        <f>'基本単価表入力表'!N4</f>
        <v>62</v>
      </c>
      <c r="G9" s="184"/>
      <c r="H9" s="184"/>
      <c r="I9" s="185" t="s">
        <v>216</v>
      </c>
    </row>
    <row r="10" spans="2:9" ht="27.75" customHeight="1">
      <c r="B10" s="383" t="s">
        <v>0</v>
      </c>
      <c r="C10" s="182"/>
      <c r="D10" s="327" t="s">
        <v>443</v>
      </c>
      <c r="E10" s="181" t="s">
        <v>231</v>
      </c>
      <c r="F10" s="183">
        <v>96</v>
      </c>
      <c r="G10" s="184"/>
      <c r="H10" s="184"/>
      <c r="I10" s="185"/>
    </row>
    <row r="11" spans="2:9" ht="27.75" customHeight="1">
      <c r="B11" s="383" t="s">
        <v>1</v>
      </c>
      <c r="C11" s="182" t="s">
        <v>232</v>
      </c>
      <c r="D11" s="330" t="s">
        <v>276</v>
      </c>
      <c r="E11" s="181" t="s">
        <v>231</v>
      </c>
      <c r="F11" s="183">
        <f>5*'基本単価表入力表'!O7+6*'基本単価表入力表'!O8</f>
        <v>21</v>
      </c>
      <c r="G11" s="184"/>
      <c r="H11" s="184"/>
      <c r="I11" s="185"/>
    </row>
    <row r="12" spans="2:9" ht="27.75" customHeight="1">
      <c r="B12" s="383" t="s">
        <v>110</v>
      </c>
      <c r="C12" s="182" t="s">
        <v>109</v>
      </c>
      <c r="D12" s="187"/>
      <c r="E12" s="181" t="s">
        <v>100</v>
      </c>
      <c r="F12" s="183">
        <v>1</v>
      </c>
      <c r="G12" s="186"/>
      <c r="H12" s="184"/>
      <c r="I12" s="334"/>
    </row>
    <row r="13" spans="2:9" ht="27.75" customHeight="1">
      <c r="B13" s="383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383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383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  <row r="23" ht="27.75" customHeight="1">
      <c r="E23" s="166"/>
    </row>
  </sheetData>
  <sheetProtection/>
  <conditionalFormatting sqref="G5:H20 I12">
    <cfRule type="expression" priority="1" dxfId="59" stopIfTrue="1">
      <formula>$E$22=1</formula>
    </cfRule>
  </conditionalFormatting>
  <printOptions vertic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14</v>
      </c>
      <c r="C2" s="171"/>
      <c r="D2" s="172" t="s">
        <v>404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128</v>
      </c>
      <c r="C5" s="182" t="s">
        <v>235</v>
      </c>
      <c r="D5" s="182" t="s">
        <v>283</v>
      </c>
      <c r="E5" s="181" t="s">
        <v>228</v>
      </c>
      <c r="F5" s="183">
        <v>42</v>
      </c>
      <c r="G5" s="184"/>
      <c r="H5" s="184"/>
      <c r="I5" s="342">
        <v>9</v>
      </c>
    </row>
    <row r="6" spans="2:9" ht="27.75" customHeight="1">
      <c r="B6" s="383" t="s">
        <v>0</v>
      </c>
      <c r="C6" s="182"/>
      <c r="D6" s="181" t="s">
        <v>280</v>
      </c>
      <c r="E6" s="181" t="s">
        <v>228</v>
      </c>
      <c r="F6" s="183">
        <v>12</v>
      </c>
      <c r="G6" s="184"/>
      <c r="H6" s="184"/>
      <c r="I6" s="342"/>
    </row>
    <row r="7" spans="2:9" ht="27.75" customHeight="1">
      <c r="B7" s="383" t="s">
        <v>1</v>
      </c>
      <c r="C7" s="182" t="s">
        <v>230</v>
      </c>
      <c r="D7" s="181" t="s">
        <v>282</v>
      </c>
      <c r="E7" s="181" t="s">
        <v>228</v>
      </c>
      <c r="F7" s="183">
        <v>4</v>
      </c>
      <c r="G7" s="184"/>
      <c r="H7" s="184"/>
      <c r="I7" s="342"/>
    </row>
    <row r="8" spans="2:9" ht="27.75" customHeight="1">
      <c r="B8" s="383" t="s">
        <v>110</v>
      </c>
      <c r="C8" s="182" t="s">
        <v>38</v>
      </c>
      <c r="D8" s="187"/>
      <c r="E8" s="181" t="s">
        <v>100</v>
      </c>
      <c r="F8" s="183">
        <v>1</v>
      </c>
      <c r="G8" s="186"/>
      <c r="H8" s="184"/>
      <c r="I8" s="373"/>
    </row>
    <row r="9" spans="2:9" ht="27.75" customHeight="1">
      <c r="B9" s="383"/>
      <c r="C9" s="182"/>
      <c r="D9" s="181"/>
      <c r="E9" s="181"/>
      <c r="F9" s="183"/>
      <c r="G9" s="184"/>
      <c r="H9" s="184"/>
      <c r="I9" s="185"/>
    </row>
    <row r="10" spans="2:9" ht="27.75" customHeight="1">
      <c r="B10" s="181"/>
      <c r="C10" s="182"/>
      <c r="D10" s="181"/>
      <c r="E10" s="181"/>
      <c r="F10" s="183"/>
      <c r="G10" s="186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8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15</v>
      </c>
      <c r="C2" s="171"/>
      <c r="D2" s="172" t="s">
        <v>445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128</v>
      </c>
      <c r="C5" s="182" t="s">
        <v>235</v>
      </c>
      <c r="D5" s="182" t="s">
        <v>283</v>
      </c>
      <c r="E5" s="181" t="s">
        <v>228</v>
      </c>
      <c r="F5" s="183">
        <v>42</v>
      </c>
      <c r="G5" s="184"/>
      <c r="H5" s="184"/>
      <c r="I5" s="342">
        <v>9</v>
      </c>
    </row>
    <row r="6" spans="2:9" ht="27.75" customHeight="1">
      <c r="B6" s="383" t="s">
        <v>0</v>
      </c>
      <c r="C6" s="182"/>
      <c r="D6" s="181" t="s">
        <v>444</v>
      </c>
      <c r="E6" s="181" t="s">
        <v>228</v>
      </c>
      <c r="F6" s="183">
        <v>10</v>
      </c>
      <c r="G6" s="184"/>
      <c r="H6" s="184"/>
      <c r="I6" s="342"/>
    </row>
    <row r="7" spans="2:9" ht="27.75" customHeight="1">
      <c r="B7" s="383" t="s">
        <v>1</v>
      </c>
      <c r="C7" s="182" t="s">
        <v>230</v>
      </c>
      <c r="D7" s="181" t="s">
        <v>282</v>
      </c>
      <c r="E7" s="181" t="s">
        <v>228</v>
      </c>
      <c r="F7" s="183">
        <v>4</v>
      </c>
      <c r="G7" s="184"/>
      <c r="H7" s="184"/>
      <c r="I7" s="342"/>
    </row>
    <row r="8" spans="2:9" ht="27.75" customHeight="1">
      <c r="B8" s="383" t="s">
        <v>110</v>
      </c>
      <c r="C8" s="182" t="s">
        <v>38</v>
      </c>
      <c r="D8" s="187"/>
      <c r="E8" s="181" t="s">
        <v>100</v>
      </c>
      <c r="F8" s="183">
        <v>1</v>
      </c>
      <c r="G8" s="186"/>
      <c r="H8" s="184"/>
      <c r="I8" s="373"/>
    </row>
    <row r="9" spans="2:9" ht="27.75" customHeight="1">
      <c r="B9" s="383"/>
      <c r="C9" s="182"/>
      <c r="D9" s="181"/>
      <c r="E9" s="181"/>
      <c r="F9" s="183"/>
      <c r="G9" s="184"/>
      <c r="H9" s="184"/>
      <c r="I9" s="185"/>
    </row>
    <row r="10" spans="2:9" ht="27.75" customHeight="1">
      <c r="B10" s="181"/>
      <c r="C10" s="182"/>
      <c r="D10" s="181"/>
      <c r="E10" s="181"/>
      <c r="F10" s="183"/>
      <c r="G10" s="186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8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12.875" defaultRowHeight="36" customHeight="1"/>
  <cols>
    <col min="1" max="1" width="18.875" style="1" customWidth="1"/>
    <col min="2" max="2" width="5.25390625" style="1" customWidth="1"/>
    <col min="3" max="3" width="9.00390625" style="1" customWidth="1"/>
    <col min="4" max="4" width="9.875" style="1" customWidth="1"/>
    <col min="5" max="5" width="27.875" style="1" customWidth="1"/>
    <col min="6" max="7" width="6.125" style="1" customWidth="1"/>
    <col min="8" max="8" width="22.375" style="1" customWidth="1"/>
    <col min="9" max="9" width="5.875" style="1" customWidth="1"/>
    <col min="10" max="10" width="1.875" style="1" customWidth="1"/>
    <col min="11" max="16384" width="12.875" style="1" customWidth="1"/>
  </cols>
  <sheetData>
    <row r="1" spans="1:9" ht="36" customHeight="1">
      <c r="A1" s="1" t="s">
        <v>463</v>
      </c>
      <c r="I1" s="2"/>
    </row>
    <row r="2" spans="1:9" ht="18" customHeight="1">
      <c r="A2" s="21"/>
      <c r="B2" s="21"/>
      <c r="C2" s="3"/>
      <c r="D2" s="3"/>
      <c r="E2" s="3"/>
      <c r="F2" s="3"/>
      <c r="G2" s="3"/>
      <c r="H2" s="3"/>
      <c r="I2" s="375"/>
    </row>
    <row r="3" spans="1:9" ht="29.25" customHeight="1">
      <c r="A3" s="4"/>
      <c r="B3" s="24"/>
      <c r="C3" s="432" t="s">
        <v>461</v>
      </c>
      <c r="D3" s="433"/>
      <c r="E3" s="433"/>
      <c r="F3" s="433"/>
      <c r="G3" s="433"/>
      <c r="H3" s="433"/>
      <c r="I3" s="6"/>
    </row>
    <row r="4" spans="1:9" ht="29.25" customHeight="1">
      <c r="A4" s="4" t="s">
        <v>70</v>
      </c>
      <c r="B4" s="24"/>
      <c r="C4" s="433"/>
      <c r="D4" s="433"/>
      <c r="E4" s="433"/>
      <c r="F4" s="433"/>
      <c r="G4" s="433"/>
      <c r="H4" s="433"/>
      <c r="I4" s="6"/>
    </row>
    <row r="5" spans="1:9" ht="29.25" customHeight="1">
      <c r="A5" s="7"/>
      <c r="B5" s="5"/>
      <c r="C5" s="433"/>
      <c r="D5" s="433"/>
      <c r="E5" s="433"/>
      <c r="F5" s="433"/>
      <c r="G5" s="433"/>
      <c r="H5" s="433"/>
      <c r="I5" s="6"/>
    </row>
    <row r="6" spans="1:9" ht="20.25" customHeight="1">
      <c r="A6" s="7"/>
      <c r="B6" s="5"/>
      <c r="C6" s="5"/>
      <c r="D6" s="22"/>
      <c r="E6" s="11"/>
      <c r="F6" s="23"/>
      <c r="G6" s="23"/>
      <c r="H6" s="418" t="s">
        <v>462</v>
      </c>
      <c r="I6" s="6"/>
    </row>
    <row r="7" spans="1:9" ht="22.5" customHeight="1">
      <c r="A7" s="7"/>
      <c r="B7" s="5"/>
      <c r="C7" s="434" t="s">
        <v>71</v>
      </c>
      <c r="D7" s="435"/>
      <c r="E7" s="8" t="s">
        <v>346</v>
      </c>
      <c r="F7" s="9"/>
      <c r="G7" s="430" t="s">
        <v>347</v>
      </c>
      <c r="H7" s="431"/>
      <c r="I7" s="6"/>
    </row>
    <row r="8" spans="1:9" ht="22.5" customHeight="1">
      <c r="A8" s="7"/>
      <c r="B8" s="5"/>
      <c r="C8" s="427" t="s">
        <v>457</v>
      </c>
      <c r="D8" s="8" t="s">
        <v>116</v>
      </c>
      <c r="E8" s="30"/>
      <c r="F8" s="9"/>
      <c r="G8" s="8"/>
      <c r="H8" s="12" t="s">
        <v>339</v>
      </c>
      <c r="I8" s="6"/>
    </row>
    <row r="9" spans="1:9" ht="22.5" customHeight="1">
      <c r="A9" s="7"/>
      <c r="B9" s="5"/>
      <c r="C9" s="428"/>
      <c r="D9" s="8" t="s">
        <v>117</v>
      </c>
      <c r="E9" s="30"/>
      <c r="F9" s="9"/>
      <c r="G9" s="8"/>
      <c r="H9" s="12" t="s">
        <v>340</v>
      </c>
      <c r="I9" s="6"/>
    </row>
    <row r="10" spans="1:9" ht="22.5" customHeight="1">
      <c r="A10" s="7"/>
      <c r="B10" s="5"/>
      <c r="C10" s="428"/>
      <c r="D10" s="8" t="s">
        <v>118</v>
      </c>
      <c r="E10" s="30"/>
      <c r="F10" s="9"/>
      <c r="G10" s="8"/>
      <c r="H10" s="12" t="s">
        <v>341</v>
      </c>
      <c r="I10" s="6"/>
    </row>
    <row r="11" spans="1:9" ht="22.5" customHeight="1">
      <c r="A11" s="7"/>
      <c r="B11" s="5"/>
      <c r="C11" s="428"/>
      <c r="D11" s="8" t="s">
        <v>119</v>
      </c>
      <c r="E11" s="30"/>
      <c r="F11" s="9"/>
      <c r="G11" s="8"/>
      <c r="H11" s="12" t="s">
        <v>342</v>
      </c>
      <c r="I11" s="6"/>
    </row>
    <row r="12" spans="1:9" ht="22.5" customHeight="1">
      <c r="A12" s="7"/>
      <c r="B12" s="5"/>
      <c r="C12" s="428"/>
      <c r="D12" s="8" t="s">
        <v>120</v>
      </c>
      <c r="E12" s="30"/>
      <c r="F12" s="9"/>
      <c r="G12" s="8"/>
      <c r="H12" s="12" t="s">
        <v>343</v>
      </c>
      <c r="I12" s="6"/>
    </row>
    <row r="13" spans="1:9" ht="22.5" customHeight="1">
      <c r="A13" s="7"/>
      <c r="B13" s="5"/>
      <c r="C13" s="428"/>
      <c r="D13" s="8" t="s">
        <v>121</v>
      </c>
      <c r="E13" s="30"/>
      <c r="F13" s="9"/>
      <c r="G13" s="8"/>
      <c r="H13" s="376" t="s">
        <v>344</v>
      </c>
      <c r="I13" s="6"/>
    </row>
    <row r="14" spans="1:9" ht="22.5" customHeight="1">
      <c r="A14" s="7"/>
      <c r="B14" s="5"/>
      <c r="C14" s="429"/>
      <c r="D14" s="8" t="s">
        <v>89</v>
      </c>
      <c r="E14" s="30"/>
      <c r="F14" s="9"/>
      <c r="G14" s="8"/>
      <c r="H14" s="12" t="s">
        <v>345</v>
      </c>
      <c r="I14" s="6"/>
    </row>
    <row r="15" spans="1:9" ht="22.5" customHeight="1">
      <c r="A15" s="7"/>
      <c r="B15" s="5"/>
      <c r="C15" s="427" t="s">
        <v>458</v>
      </c>
      <c r="D15" s="8" t="s">
        <v>116</v>
      </c>
      <c r="E15" s="30"/>
      <c r="F15" s="9"/>
      <c r="G15" s="8"/>
      <c r="H15" s="12" t="s">
        <v>339</v>
      </c>
      <c r="I15" s="6"/>
    </row>
    <row r="16" spans="1:9" ht="22.5" customHeight="1">
      <c r="A16" s="7"/>
      <c r="B16" s="5"/>
      <c r="C16" s="428"/>
      <c r="D16" s="8" t="s">
        <v>117</v>
      </c>
      <c r="E16" s="30"/>
      <c r="F16" s="9"/>
      <c r="G16" s="8"/>
      <c r="H16" s="12" t="s">
        <v>340</v>
      </c>
      <c r="I16" s="6"/>
    </row>
    <row r="17" spans="1:9" ht="22.5" customHeight="1">
      <c r="A17" s="7"/>
      <c r="B17" s="5"/>
      <c r="C17" s="428"/>
      <c r="D17" s="8" t="s">
        <v>118</v>
      </c>
      <c r="E17" s="30"/>
      <c r="F17" s="9"/>
      <c r="G17" s="8"/>
      <c r="H17" s="12" t="s">
        <v>341</v>
      </c>
      <c r="I17" s="6"/>
    </row>
    <row r="18" spans="1:9" ht="22.5" customHeight="1">
      <c r="A18" s="7"/>
      <c r="B18" s="5"/>
      <c r="C18" s="428"/>
      <c r="D18" s="8" t="s">
        <v>119</v>
      </c>
      <c r="E18" s="30"/>
      <c r="F18" s="9"/>
      <c r="G18" s="8"/>
      <c r="H18" s="12" t="s">
        <v>342</v>
      </c>
      <c r="I18" s="6"/>
    </row>
    <row r="19" spans="1:9" ht="22.5" customHeight="1">
      <c r="A19" s="7"/>
      <c r="B19" s="5"/>
      <c r="C19" s="428"/>
      <c r="D19" s="8" t="s">
        <v>120</v>
      </c>
      <c r="E19" s="30"/>
      <c r="F19" s="9"/>
      <c r="G19" s="8"/>
      <c r="H19" s="12" t="s">
        <v>343</v>
      </c>
      <c r="I19" s="6"/>
    </row>
    <row r="20" spans="1:9" ht="22.5" customHeight="1">
      <c r="A20" s="7"/>
      <c r="B20" s="5"/>
      <c r="C20" s="428"/>
      <c r="D20" s="8" t="s">
        <v>121</v>
      </c>
      <c r="E20" s="30"/>
      <c r="F20" s="9"/>
      <c r="G20" s="8"/>
      <c r="H20" s="376" t="s">
        <v>344</v>
      </c>
      <c r="I20" s="6"/>
    </row>
    <row r="21" spans="1:9" ht="22.5" customHeight="1">
      <c r="A21" s="7"/>
      <c r="B21" s="5"/>
      <c r="C21" s="429"/>
      <c r="D21" s="8" t="s">
        <v>89</v>
      </c>
      <c r="E21" s="30"/>
      <c r="F21" s="9"/>
      <c r="G21" s="8"/>
      <c r="H21" s="12" t="s">
        <v>345</v>
      </c>
      <c r="I21" s="6"/>
    </row>
    <row r="22" spans="1:9" ht="22.5" customHeight="1">
      <c r="A22" s="7"/>
      <c r="B22" s="5"/>
      <c r="C22" s="427" t="s">
        <v>459</v>
      </c>
      <c r="D22" s="8" t="s">
        <v>116</v>
      </c>
      <c r="E22" s="30"/>
      <c r="F22" s="9"/>
      <c r="G22" s="8"/>
      <c r="H22" s="12" t="s">
        <v>339</v>
      </c>
      <c r="I22" s="6"/>
    </row>
    <row r="23" spans="1:9" ht="22.5" customHeight="1">
      <c r="A23" s="7"/>
      <c r="B23" s="5"/>
      <c r="C23" s="428"/>
      <c r="D23" s="8" t="s">
        <v>117</v>
      </c>
      <c r="E23" s="30"/>
      <c r="F23" s="9"/>
      <c r="G23" s="8"/>
      <c r="H23" s="12" t="s">
        <v>340</v>
      </c>
      <c r="I23" s="6"/>
    </row>
    <row r="24" spans="1:9" ht="22.5" customHeight="1">
      <c r="A24" s="7"/>
      <c r="B24" s="5"/>
      <c r="C24" s="428"/>
      <c r="D24" s="8" t="s">
        <v>118</v>
      </c>
      <c r="E24" s="30"/>
      <c r="F24" s="9"/>
      <c r="G24" s="8"/>
      <c r="H24" s="12" t="s">
        <v>341</v>
      </c>
      <c r="I24" s="6"/>
    </row>
    <row r="25" spans="1:9" ht="22.5" customHeight="1">
      <c r="A25" s="7"/>
      <c r="B25" s="5"/>
      <c r="C25" s="428"/>
      <c r="D25" s="8" t="s">
        <v>119</v>
      </c>
      <c r="E25" s="30"/>
      <c r="F25" s="9"/>
      <c r="G25" s="8"/>
      <c r="H25" s="12" t="s">
        <v>342</v>
      </c>
      <c r="I25" s="6"/>
    </row>
    <row r="26" spans="1:9" ht="22.5" customHeight="1">
      <c r="A26" s="7"/>
      <c r="B26" s="5"/>
      <c r="C26" s="428"/>
      <c r="D26" s="8" t="s">
        <v>120</v>
      </c>
      <c r="E26" s="30"/>
      <c r="F26" s="9"/>
      <c r="G26" s="8"/>
      <c r="H26" s="12" t="s">
        <v>343</v>
      </c>
      <c r="I26" s="6"/>
    </row>
    <row r="27" spans="1:9" ht="22.5" customHeight="1">
      <c r="A27" s="7"/>
      <c r="B27" s="5"/>
      <c r="C27" s="428"/>
      <c r="D27" s="8" t="s">
        <v>121</v>
      </c>
      <c r="E27" s="30"/>
      <c r="F27" s="9"/>
      <c r="G27" s="8"/>
      <c r="H27" s="376" t="s">
        <v>344</v>
      </c>
      <c r="I27" s="6"/>
    </row>
    <row r="28" spans="1:9" ht="22.5" customHeight="1">
      <c r="A28" s="7"/>
      <c r="B28" s="5"/>
      <c r="C28" s="429"/>
      <c r="D28" s="8" t="s">
        <v>89</v>
      </c>
      <c r="E28" s="30"/>
      <c r="F28" s="9"/>
      <c r="G28" s="8"/>
      <c r="H28" s="12" t="s">
        <v>345</v>
      </c>
      <c r="I28" s="6"/>
    </row>
    <row r="29" spans="1:9" ht="22.5" customHeight="1">
      <c r="A29" s="7"/>
      <c r="B29" s="5"/>
      <c r="C29" s="427" t="s">
        <v>460</v>
      </c>
      <c r="D29" s="8" t="s">
        <v>116</v>
      </c>
      <c r="E29" s="30"/>
      <c r="F29" s="9"/>
      <c r="G29" s="8"/>
      <c r="H29" s="12" t="s">
        <v>339</v>
      </c>
      <c r="I29" s="6"/>
    </row>
    <row r="30" spans="1:9" ht="22.5" customHeight="1">
      <c r="A30" s="7"/>
      <c r="B30" s="5"/>
      <c r="C30" s="428"/>
      <c r="D30" s="8" t="s">
        <v>117</v>
      </c>
      <c r="E30" s="30"/>
      <c r="F30" s="9"/>
      <c r="G30" s="8"/>
      <c r="H30" s="12" t="s">
        <v>340</v>
      </c>
      <c r="I30" s="6"/>
    </row>
    <row r="31" spans="1:9" ht="22.5" customHeight="1">
      <c r="A31" s="7"/>
      <c r="B31" s="5"/>
      <c r="C31" s="428"/>
      <c r="D31" s="8" t="s">
        <v>118</v>
      </c>
      <c r="E31" s="30"/>
      <c r="F31" s="9"/>
      <c r="G31" s="8"/>
      <c r="H31" s="12" t="s">
        <v>341</v>
      </c>
      <c r="I31" s="6"/>
    </row>
    <row r="32" spans="1:9" ht="22.5" customHeight="1">
      <c r="A32" s="7"/>
      <c r="B32" s="5"/>
      <c r="C32" s="428"/>
      <c r="D32" s="8" t="s">
        <v>119</v>
      </c>
      <c r="E32" s="30"/>
      <c r="F32" s="9"/>
      <c r="G32" s="8"/>
      <c r="H32" s="12" t="s">
        <v>342</v>
      </c>
      <c r="I32" s="6"/>
    </row>
    <row r="33" spans="1:9" ht="22.5" customHeight="1">
      <c r="A33" s="7"/>
      <c r="B33" s="5"/>
      <c r="C33" s="428"/>
      <c r="D33" s="8" t="s">
        <v>120</v>
      </c>
      <c r="E33" s="30"/>
      <c r="F33" s="9"/>
      <c r="G33" s="8"/>
      <c r="H33" s="12" t="s">
        <v>343</v>
      </c>
      <c r="I33" s="6"/>
    </row>
    <row r="34" spans="1:9" ht="22.5" customHeight="1">
      <c r="A34" s="7"/>
      <c r="B34" s="5"/>
      <c r="C34" s="428"/>
      <c r="D34" s="8" t="s">
        <v>121</v>
      </c>
      <c r="E34" s="30"/>
      <c r="F34" s="9"/>
      <c r="G34" s="8"/>
      <c r="H34" s="376" t="s">
        <v>344</v>
      </c>
      <c r="I34" s="6"/>
    </row>
    <row r="35" spans="1:9" ht="22.5" customHeight="1">
      <c r="A35" s="7"/>
      <c r="B35" s="5"/>
      <c r="C35" s="429"/>
      <c r="D35" s="8" t="s">
        <v>89</v>
      </c>
      <c r="E35" s="30"/>
      <c r="F35" s="9"/>
      <c r="G35" s="8"/>
      <c r="H35" s="12" t="s">
        <v>345</v>
      </c>
      <c r="I35" s="6"/>
    </row>
    <row r="36" spans="1:9" ht="36" customHeight="1">
      <c r="A36" s="10"/>
      <c r="B36" s="25"/>
      <c r="C36" s="26"/>
      <c r="D36" s="26"/>
      <c r="E36" s="26"/>
      <c r="F36" s="420"/>
      <c r="G36" s="26"/>
      <c r="H36" s="26"/>
      <c r="I36" s="27"/>
    </row>
    <row r="37" ht="36" customHeight="1">
      <c r="F37" s="419"/>
    </row>
  </sheetData>
  <sheetProtection/>
  <mergeCells count="7">
    <mergeCell ref="C29:C35"/>
    <mergeCell ref="G7:H7"/>
    <mergeCell ref="C3:H5"/>
    <mergeCell ref="C7:D7"/>
    <mergeCell ref="C8:C14"/>
    <mergeCell ref="C15:C21"/>
    <mergeCell ref="C22:C28"/>
  </mergeCells>
  <conditionalFormatting sqref="E8:E35">
    <cfRule type="expression" priority="1" dxfId="59">
      <formula>$F$37=1</formula>
    </cfRule>
  </conditionalFormatting>
  <printOptions horizontalCentered="1"/>
  <pageMargins left="0.984251968503937" right="0.1968503937007874" top="0.35433070866141736" bottom="0.1968503937007874" header="0.1968503937007874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16</v>
      </c>
      <c r="C2" s="171"/>
      <c r="D2" s="172" t="s">
        <v>446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128</v>
      </c>
      <c r="C5" s="182" t="s">
        <v>235</v>
      </c>
      <c r="D5" s="182" t="s">
        <v>283</v>
      </c>
      <c r="E5" s="181" t="s">
        <v>228</v>
      </c>
      <c r="F5" s="183">
        <v>42</v>
      </c>
      <c r="G5" s="184"/>
      <c r="H5" s="184"/>
      <c r="I5" s="342">
        <v>9</v>
      </c>
    </row>
    <row r="6" spans="2:9" ht="27.75" customHeight="1">
      <c r="B6" s="383" t="s">
        <v>0</v>
      </c>
      <c r="C6" s="182"/>
      <c r="D6" s="181" t="s">
        <v>447</v>
      </c>
      <c r="E6" s="181" t="s">
        <v>228</v>
      </c>
      <c r="F6" s="183">
        <v>11</v>
      </c>
      <c r="G6" s="184"/>
      <c r="H6" s="184"/>
      <c r="I6" s="342"/>
    </row>
    <row r="7" spans="2:9" ht="27.75" customHeight="1">
      <c r="B7" s="383" t="s">
        <v>1</v>
      </c>
      <c r="C7" s="182" t="s">
        <v>230</v>
      </c>
      <c r="D7" s="181" t="s">
        <v>282</v>
      </c>
      <c r="E7" s="181" t="s">
        <v>228</v>
      </c>
      <c r="F7" s="183">
        <v>4</v>
      </c>
      <c r="G7" s="184"/>
      <c r="H7" s="184"/>
      <c r="I7" s="342"/>
    </row>
    <row r="8" spans="2:9" ht="27.75" customHeight="1">
      <c r="B8" s="383" t="s">
        <v>110</v>
      </c>
      <c r="C8" s="182" t="s">
        <v>38</v>
      </c>
      <c r="D8" s="187"/>
      <c r="E8" s="181" t="s">
        <v>100</v>
      </c>
      <c r="F8" s="183">
        <v>1</v>
      </c>
      <c r="G8" s="186"/>
      <c r="H8" s="184"/>
      <c r="I8" s="373"/>
    </row>
    <row r="9" spans="2:9" ht="27.75" customHeight="1">
      <c r="B9" s="383"/>
      <c r="C9" s="182"/>
      <c r="D9" s="181"/>
      <c r="E9" s="181"/>
      <c r="F9" s="183"/>
      <c r="G9" s="184"/>
      <c r="H9" s="184"/>
      <c r="I9" s="185"/>
    </row>
    <row r="10" spans="2:9" ht="27.75" customHeight="1">
      <c r="B10" s="181"/>
      <c r="C10" s="182"/>
      <c r="D10" s="181"/>
      <c r="E10" s="181"/>
      <c r="F10" s="183"/>
      <c r="G10" s="186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8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3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17</v>
      </c>
      <c r="C2" s="171"/>
      <c r="D2" s="172" t="s">
        <v>405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182" t="s">
        <v>142</v>
      </c>
      <c r="C5" s="182" t="s">
        <v>23</v>
      </c>
      <c r="D5" s="181" t="s">
        <v>392</v>
      </c>
      <c r="E5" s="181" t="s">
        <v>228</v>
      </c>
      <c r="F5" s="183">
        <f>SUM('基本単価表入力表'!G5:G6)</f>
        <v>43</v>
      </c>
      <c r="G5" s="184"/>
      <c r="H5" s="184"/>
      <c r="I5" s="342">
        <v>8</v>
      </c>
    </row>
    <row r="6" spans="2:9" ht="27.75" customHeight="1">
      <c r="B6" s="182" t="s">
        <v>142</v>
      </c>
      <c r="C6" s="182" t="s">
        <v>153</v>
      </c>
      <c r="D6" s="182" t="s">
        <v>393</v>
      </c>
      <c r="E6" s="181" t="s">
        <v>228</v>
      </c>
      <c r="F6" s="183">
        <f>2*19</f>
        <v>38</v>
      </c>
      <c r="G6" s="184"/>
      <c r="H6" s="184"/>
      <c r="I6" s="342">
        <v>8</v>
      </c>
    </row>
    <row r="7" spans="2:9" ht="27.75" customHeight="1">
      <c r="B7" s="181" t="s">
        <v>0</v>
      </c>
      <c r="C7" s="182" t="s">
        <v>236</v>
      </c>
      <c r="D7" s="182" t="s">
        <v>432</v>
      </c>
      <c r="E7" s="181" t="s">
        <v>228</v>
      </c>
      <c r="F7" s="183">
        <f>2*18</f>
        <v>36</v>
      </c>
      <c r="G7" s="186"/>
      <c r="H7" s="184"/>
      <c r="I7" s="185"/>
    </row>
    <row r="8" spans="2:9" ht="27.75" customHeight="1">
      <c r="B8" s="181" t="s">
        <v>1</v>
      </c>
      <c r="C8" s="182" t="s">
        <v>233</v>
      </c>
      <c r="D8" s="394" t="s">
        <v>394</v>
      </c>
      <c r="E8" s="181" t="s">
        <v>228</v>
      </c>
      <c r="F8" s="183">
        <f>'基本単価表入力表'!G9+2*('基本単価表入力表'!G4-'基本単価表入力表'!G9)</f>
        <v>5</v>
      </c>
      <c r="G8" s="184"/>
      <c r="H8" s="184"/>
      <c r="I8" s="185"/>
    </row>
    <row r="9" spans="2:9" ht="27.75" customHeight="1">
      <c r="B9" s="181" t="s">
        <v>110</v>
      </c>
      <c r="C9" s="182" t="s">
        <v>127</v>
      </c>
      <c r="D9" s="214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181"/>
      <c r="C10" s="182"/>
      <c r="D10" s="187"/>
      <c r="E10" s="181"/>
      <c r="F10" s="183"/>
      <c r="G10" s="186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8"/>
      <c r="F19" s="189"/>
      <c r="G19" s="186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18</v>
      </c>
      <c r="C2" s="171"/>
      <c r="D2" s="172" t="s">
        <v>406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142</v>
      </c>
      <c r="C5" s="182" t="s">
        <v>23</v>
      </c>
      <c r="D5" s="181" t="s">
        <v>284</v>
      </c>
      <c r="E5" s="181" t="s">
        <v>231</v>
      </c>
      <c r="F5" s="183">
        <v>43</v>
      </c>
      <c r="G5" s="184"/>
      <c r="H5" s="184"/>
      <c r="I5" s="342">
        <v>8</v>
      </c>
    </row>
    <row r="6" spans="2:9" ht="27.75" customHeight="1">
      <c r="B6" s="384" t="s">
        <v>142</v>
      </c>
      <c r="C6" s="182" t="s">
        <v>153</v>
      </c>
      <c r="D6" s="182" t="s">
        <v>260</v>
      </c>
      <c r="E6" s="181" t="s">
        <v>231</v>
      </c>
      <c r="F6" s="183">
        <v>38</v>
      </c>
      <c r="G6" s="184"/>
      <c r="H6" s="184"/>
      <c r="I6" s="342">
        <v>8</v>
      </c>
    </row>
    <row r="7" spans="2:9" ht="27.75" customHeight="1">
      <c r="B7" s="383" t="s">
        <v>0</v>
      </c>
      <c r="C7" s="182" t="s">
        <v>236</v>
      </c>
      <c r="D7" s="181" t="s">
        <v>434</v>
      </c>
      <c r="E7" s="181" t="s">
        <v>231</v>
      </c>
      <c r="F7" s="183">
        <v>34</v>
      </c>
      <c r="G7" s="186"/>
      <c r="H7" s="184"/>
      <c r="I7" s="185"/>
    </row>
    <row r="8" spans="2:9" ht="27.75" customHeight="1">
      <c r="B8" s="383" t="s">
        <v>1</v>
      </c>
      <c r="C8" s="182" t="s">
        <v>234</v>
      </c>
      <c r="D8" s="214" t="s">
        <v>285</v>
      </c>
      <c r="E8" s="181" t="s">
        <v>231</v>
      </c>
      <c r="F8" s="183">
        <f>'基本単価表入力表'!K9+2*('基本単価表入力表'!K4-'基本単価表入力表'!K9)</f>
        <v>6</v>
      </c>
      <c r="G8" s="184"/>
      <c r="H8" s="184"/>
      <c r="I8" s="185"/>
    </row>
    <row r="9" spans="2:9" ht="27.75" customHeight="1">
      <c r="B9" s="383" t="s">
        <v>110</v>
      </c>
      <c r="C9" s="182" t="s">
        <v>127</v>
      </c>
      <c r="D9" s="187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181"/>
      <c r="C10" s="182"/>
      <c r="D10" s="187"/>
      <c r="E10" s="181"/>
      <c r="F10" s="183"/>
      <c r="G10" s="186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8"/>
      <c r="F19" s="189"/>
      <c r="G19" s="186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19</v>
      </c>
      <c r="C2" s="171"/>
      <c r="D2" s="172" t="s">
        <v>33</v>
      </c>
      <c r="E2" s="173"/>
      <c r="F2" s="174"/>
      <c r="G2" s="174"/>
      <c r="H2" s="174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105</v>
      </c>
      <c r="C5" s="182" t="s">
        <v>14</v>
      </c>
      <c r="D5" s="181"/>
      <c r="E5" s="181" t="s">
        <v>154</v>
      </c>
      <c r="F5" s="183"/>
      <c r="G5" s="184"/>
      <c r="H5" s="184"/>
      <c r="I5" s="185"/>
    </row>
    <row r="6" spans="2:9" ht="27.75" customHeight="1">
      <c r="B6" s="383" t="s">
        <v>105</v>
      </c>
      <c r="C6" s="182" t="s">
        <v>35</v>
      </c>
      <c r="D6" s="181"/>
      <c r="E6" s="181" t="s">
        <v>154</v>
      </c>
      <c r="F6" s="183"/>
      <c r="G6" s="184"/>
      <c r="H6" s="184"/>
      <c r="I6" s="185"/>
    </row>
    <row r="7" spans="2:9" ht="27.75" customHeight="1">
      <c r="B7" s="383" t="s">
        <v>25</v>
      </c>
      <c r="C7" s="182" t="s">
        <v>34</v>
      </c>
      <c r="D7" s="181"/>
      <c r="E7" s="181" t="s">
        <v>154</v>
      </c>
      <c r="F7" s="183"/>
      <c r="G7" s="184"/>
      <c r="H7" s="184"/>
      <c r="I7" s="342">
        <v>10</v>
      </c>
    </row>
    <row r="8" spans="2:9" ht="27.75" customHeight="1">
      <c r="B8" s="383" t="s">
        <v>25</v>
      </c>
      <c r="C8" s="182" t="s">
        <v>217</v>
      </c>
      <c r="D8" s="181"/>
      <c r="E8" s="181" t="s">
        <v>154</v>
      </c>
      <c r="F8" s="183"/>
      <c r="G8" s="186"/>
      <c r="H8" s="184"/>
      <c r="I8" s="342">
        <v>10</v>
      </c>
    </row>
    <row r="9" spans="2:9" ht="27.75" customHeight="1">
      <c r="B9" s="383" t="s">
        <v>110</v>
      </c>
      <c r="C9" s="182" t="s">
        <v>18</v>
      </c>
      <c r="D9" s="187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384" t="s">
        <v>62</v>
      </c>
      <c r="C10" s="182" t="s">
        <v>31</v>
      </c>
      <c r="D10" s="182" t="s">
        <v>286</v>
      </c>
      <c r="E10" s="181" t="s">
        <v>100</v>
      </c>
      <c r="F10" s="183">
        <v>1</v>
      </c>
      <c r="G10" s="186"/>
      <c r="H10" s="184"/>
      <c r="I10" s="185" t="s">
        <v>189</v>
      </c>
    </row>
    <row r="11" spans="2:9" ht="27.75" customHeight="1">
      <c r="B11" s="383" t="s">
        <v>190</v>
      </c>
      <c r="C11" s="182"/>
      <c r="D11" s="482" t="s">
        <v>191</v>
      </c>
      <c r="E11" s="181" t="s">
        <v>100</v>
      </c>
      <c r="F11" s="183">
        <v>1</v>
      </c>
      <c r="G11" s="186"/>
      <c r="H11" s="184"/>
      <c r="I11" s="185"/>
    </row>
    <row r="12" spans="2:9" ht="27.75" customHeight="1">
      <c r="B12" s="383"/>
      <c r="C12" s="182"/>
      <c r="D12" s="483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2"/>
      <c r="E13" s="181"/>
      <c r="F13" s="183"/>
      <c r="G13" s="186"/>
      <c r="H13" s="184"/>
      <c r="I13" s="185"/>
    </row>
    <row r="14" spans="2:9" ht="27.75" customHeight="1">
      <c r="B14" s="181"/>
      <c r="C14" s="182"/>
      <c r="D14" s="182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2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mergeCells count="1">
    <mergeCell ref="D11:D12"/>
  </mergeCells>
  <conditionalFormatting sqref="G5:H20 F5:F8 I9:I11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20</v>
      </c>
      <c r="C2" s="171"/>
      <c r="D2" s="172" t="s">
        <v>92</v>
      </c>
      <c r="E2" s="173"/>
      <c r="F2" s="174"/>
      <c r="G2" s="174"/>
      <c r="H2" s="174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105</v>
      </c>
      <c r="C5" s="182" t="s">
        <v>29</v>
      </c>
      <c r="D5" s="181"/>
      <c r="E5" s="181" t="s">
        <v>154</v>
      </c>
      <c r="F5" s="183"/>
      <c r="G5" s="184"/>
      <c r="H5" s="184"/>
      <c r="I5" s="185"/>
    </row>
    <row r="6" spans="2:9" ht="27.75" customHeight="1">
      <c r="B6" s="383" t="s">
        <v>105</v>
      </c>
      <c r="C6" s="182" t="s">
        <v>30</v>
      </c>
      <c r="D6" s="181"/>
      <c r="E6" s="181" t="s">
        <v>154</v>
      </c>
      <c r="F6" s="183"/>
      <c r="G6" s="184"/>
      <c r="H6" s="184"/>
      <c r="I6" s="185"/>
    </row>
    <row r="7" spans="2:9" ht="27.75" customHeight="1">
      <c r="B7" s="383" t="s">
        <v>25</v>
      </c>
      <c r="C7" s="182" t="s">
        <v>29</v>
      </c>
      <c r="D7" s="181"/>
      <c r="E7" s="181" t="s">
        <v>154</v>
      </c>
      <c r="F7" s="183"/>
      <c r="G7" s="184"/>
      <c r="H7" s="184"/>
      <c r="I7" s="342">
        <v>10</v>
      </c>
    </row>
    <row r="8" spans="2:9" ht="27.75" customHeight="1">
      <c r="B8" s="383" t="s">
        <v>25</v>
      </c>
      <c r="C8" s="182" t="s">
        <v>218</v>
      </c>
      <c r="D8" s="181"/>
      <c r="E8" s="181" t="s">
        <v>154</v>
      </c>
      <c r="F8" s="183"/>
      <c r="G8" s="186"/>
      <c r="H8" s="184"/>
      <c r="I8" s="342">
        <v>10</v>
      </c>
    </row>
    <row r="9" spans="2:9" ht="27.75" customHeight="1">
      <c r="B9" s="383" t="s">
        <v>110</v>
      </c>
      <c r="C9" s="182" t="s">
        <v>18</v>
      </c>
      <c r="D9" s="187"/>
      <c r="E9" s="181" t="s">
        <v>100</v>
      </c>
      <c r="F9" s="183">
        <v>1</v>
      </c>
      <c r="G9" s="186" t="s">
        <v>252</v>
      </c>
      <c r="H9" s="184">
        <f>TRUNC(SUM(H5:H8)*I9)</f>
        <v>0</v>
      </c>
      <c r="I9" s="392">
        <v>0.1</v>
      </c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6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6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F5:F8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21</v>
      </c>
      <c r="C2" s="171"/>
      <c r="D2" s="172" t="s">
        <v>449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25</v>
      </c>
      <c r="C5" s="182" t="s">
        <v>212</v>
      </c>
      <c r="D5" s="182" t="s">
        <v>287</v>
      </c>
      <c r="E5" s="181" t="s">
        <v>228</v>
      </c>
      <c r="F5" s="183">
        <f>5*62</f>
        <v>310</v>
      </c>
      <c r="G5" s="374"/>
      <c r="H5" s="374"/>
      <c r="I5" s="185"/>
    </row>
    <row r="6" spans="2:9" ht="27.75" customHeight="1">
      <c r="B6" s="384" t="s">
        <v>25</v>
      </c>
      <c r="C6" s="182" t="s">
        <v>220</v>
      </c>
      <c r="D6" s="182" t="s">
        <v>272</v>
      </c>
      <c r="E6" s="181" t="s">
        <v>228</v>
      </c>
      <c r="F6" s="183">
        <f>2*62</f>
        <v>124</v>
      </c>
      <c r="G6" s="184"/>
      <c r="H6" s="374"/>
      <c r="I6" s="185"/>
    </row>
    <row r="7" spans="2:9" ht="27.75" customHeight="1">
      <c r="B7" s="383" t="s">
        <v>0</v>
      </c>
      <c r="C7" s="182"/>
      <c r="D7" s="181" t="s">
        <v>450</v>
      </c>
      <c r="E7" s="181" t="s">
        <v>228</v>
      </c>
      <c r="F7" s="183">
        <f>2*SUM('基本単価表入力表'!F5:F6)</f>
        <v>36</v>
      </c>
      <c r="G7" s="184"/>
      <c r="H7" s="374"/>
      <c r="I7" s="185"/>
    </row>
    <row r="8" spans="2:9" ht="27.75" customHeight="1">
      <c r="B8" s="383" t="s">
        <v>1</v>
      </c>
      <c r="C8" s="182" t="s">
        <v>233</v>
      </c>
      <c r="D8" s="181" t="s">
        <v>261</v>
      </c>
      <c r="E8" s="181" t="s">
        <v>228</v>
      </c>
      <c r="F8" s="183">
        <f>2*'基本単価表入力表'!G4</f>
        <v>8</v>
      </c>
      <c r="G8" s="184"/>
      <c r="H8" s="374"/>
      <c r="I8" s="185"/>
    </row>
    <row r="9" spans="2:9" ht="27.75" customHeight="1">
      <c r="B9" s="383" t="s">
        <v>25</v>
      </c>
      <c r="C9" s="182" t="s">
        <v>36</v>
      </c>
      <c r="D9" s="181"/>
      <c r="E9" s="181" t="s">
        <v>154</v>
      </c>
      <c r="F9" s="183"/>
      <c r="G9" s="186"/>
      <c r="H9" s="374"/>
      <c r="I9" s="342">
        <v>10</v>
      </c>
    </row>
    <row r="10" spans="2:9" ht="27.75" customHeight="1">
      <c r="B10" s="383" t="s">
        <v>25</v>
      </c>
      <c r="C10" s="182" t="s">
        <v>124</v>
      </c>
      <c r="D10" s="181"/>
      <c r="E10" s="181" t="s">
        <v>154</v>
      </c>
      <c r="F10" s="183"/>
      <c r="G10" s="186"/>
      <c r="H10" s="374"/>
      <c r="I10" s="342">
        <v>10</v>
      </c>
    </row>
    <row r="11" spans="2:9" ht="27.75" customHeight="1">
      <c r="B11" s="384" t="s">
        <v>25</v>
      </c>
      <c r="C11" s="182" t="s">
        <v>82</v>
      </c>
      <c r="D11" s="182"/>
      <c r="E11" s="181" t="s">
        <v>154</v>
      </c>
      <c r="F11" s="183"/>
      <c r="G11" s="186"/>
      <c r="H11" s="374"/>
      <c r="I11" s="342">
        <v>10</v>
      </c>
    </row>
    <row r="12" spans="2:9" ht="27.75" customHeight="1">
      <c r="B12" s="383" t="s">
        <v>110</v>
      </c>
      <c r="C12" s="336" t="s">
        <v>288</v>
      </c>
      <c r="D12" s="187"/>
      <c r="E12" s="181" t="s">
        <v>100</v>
      </c>
      <c r="F12" s="183">
        <v>1</v>
      </c>
      <c r="G12" s="186"/>
      <c r="H12" s="374"/>
      <c r="I12" s="392">
        <v>0.1</v>
      </c>
    </row>
    <row r="13" spans="2:9" ht="27.75" customHeight="1">
      <c r="B13" s="384" t="s">
        <v>32</v>
      </c>
      <c r="C13" s="182" t="s">
        <v>131</v>
      </c>
      <c r="D13" s="182"/>
      <c r="E13" s="181" t="s">
        <v>40</v>
      </c>
      <c r="F13" s="183"/>
      <c r="G13" s="186"/>
      <c r="H13" s="374"/>
      <c r="I13" s="342">
        <v>14</v>
      </c>
    </row>
    <row r="14" spans="2:9" s="191" customFormat="1" ht="27.75" customHeight="1">
      <c r="B14" s="384" t="s">
        <v>83</v>
      </c>
      <c r="C14" s="182" t="s">
        <v>22</v>
      </c>
      <c r="D14" s="181"/>
      <c r="E14" s="181" t="s">
        <v>40</v>
      </c>
      <c r="F14" s="183"/>
      <c r="G14" s="186"/>
      <c r="H14" s="374"/>
      <c r="I14" s="342">
        <v>14</v>
      </c>
    </row>
    <row r="15" spans="2:9" s="191" customFormat="1" ht="27.75" customHeight="1">
      <c r="B15" s="182"/>
      <c r="C15" s="182"/>
      <c r="D15" s="181"/>
      <c r="E15" s="181"/>
      <c r="F15" s="183"/>
      <c r="G15" s="186"/>
      <c r="H15" s="374"/>
      <c r="I15" s="342"/>
    </row>
    <row r="16" spans="2:9" s="191" customFormat="1" ht="27.75" customHeight="1">
      <c r="B16" s="182"/>
      <c r="C16" s="182"/>
      <c r="D16" s="181"/>
      <c r="E16" s="181"/>
      <c r="F16" s="183"/>
      <c r="G16" s="186"/>
      <c r="H16" s="374"/>
      <c r="I16" s="342"/>
    </row>
    <row r="17" spans="2:9" s="191" customFormat="1" ht="27.75" customHeight="1">
      <c r="B17" s="181"/>
      <c r="C17" s="182"/>
      <c r="D17" s="181"/>
      <c r="E17" s="181"/>
      <c r="F17" s="183"/>
      <c r="G17" s="184"/>
      <c r="H17" s="37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1" t="s">
        <v>101</v>
      </c>
      <c r="C20" s="182"/>
      <c r="D20" s="181"/>
      <c r="E20" s="188"/>
      <c r="F20" s="189"/>
      <c r="G20" s="186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F13:F16 G5:H20 F9:F11 I12">
    <cfRule type="expression" priority="2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1">
      <selection activeCell="F5" sqref="F5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22</v>
      </c>
      <c r="C2" s="171"/>
      <c r="D2" s="172" t="s">
        <v>451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25</v>
      </c>
      <c r="C5" s="182" t="s">
        <v>212</v>
      </c>
      <c r="D5" s="182" t="s">
        <v>287</v>
      </c>
      <c r="E5" s="181" t="s">
        <v>228</v>
      </c>
      <c r="F5" s="183">
        <f>5*62</f>
        <v>310</v>
      </c>
      <c r="G5" s="374"/>
      <c r="H5" s="374"/>
      <c r="I5" s="185"/>
    </row>
    <row r="6" spans="2:9" ht="27.75" customHeight="1">
      <c r="B6" s="384" t="s">
        <v>25</v>
      </c>
      <c r="C6" s="182" t="s">
        <v>220</v>
      </c>
      <c r="D6" s="182" t="s">
        <v>272</v>
      </c>
      <c r="E6" s="181" t="s">
        <v>228</v>
      </c>
      <c r="F6" s="183">
        <f>2*62</f>
        <v>124</v>
      </c>
      <c r="G6" s="184"/>
      <c r="H6" s="374"/>
      <c r="I6" s="185"/>
    </row>
    <row r="7" spans="2:9" ht="27.75" customHeight="1">
      <c r="B7" s="383" t="s">
        <v>0</v>
      </c>
      <c r="C7" s="182"/>
      <c r="D7" s="181" t="s">
        <v>448</v>
      </c>
      <c r="E7" s="181" t="s">
        <v>228</v>
      </c>
      <c r="F7" s="183">
        <f>2*17</f>
        <v>34</v>
      </c>
      <c r="G7" s="184"/>
      <c r="H7" s="374"/>
      <c r="I7" s="185"/>
    </row>
    <row r="8" spans="2:9" ht="27.75" customHeight="1">
      <c r="B8" s="383" t="s">
        <v>1</v>
      </c>
      <c r="C8" s="182" t="s">
        <v>233</v>
      </c>
      <c r="D8" s="181" t="s">
        <v>261</v>
      </c>
      <c r="E8" s="181" t="s">
        <v>228</v>
      </c>
      <c r="F8" s="183">
        <f>2*'基本単価表入力表'!G4</f>
        <v>8</v>
      </c>
      <c r="G8" s="184"/>
      <c r="H8" s="374"/>
      <c r="I8" s="185"/>
    </row>
    <row r="9" spans="2:9" ht="27.75" customHeight="1">
      <c r="B9" s="383" t="s">
        <v>25</v>
      </c>
      <c r="C9" s="182" t="s">
        <v>36</v>
      </c>
      <c r="D9" s="181"/>
      <c r="E9" s="181" t="s">
        <v>154</v>
      </c>
      <c r="F9" s="183"/>
      <c r="G9" s="186"/>
      <c r="H9" s="374"/>
      <c r="I9" s="342">
        <v>10</v>
      </c>
    </row>
    <row r="10" spans="2:9" ht="27.75" customHeight="1">
      <c r="B10" s="383" t="s">
        <v>25</v>
      </c>
      <c r="C10" s="182" t="s">
        <v>124</v>
      </c>
      <c r="D10" s="181"/>
      <c r="E10" s="181" t="s">
        <v>154</v>
      </c>
      <c r="F10" s="183"/>
      <c r="G10" s="186"/>
      <c r="H10" s="374"/>
      <c r="I10" s="342">
        <v>10</v>
      </c>
    </row>
    <row r="11" spans="2:9" ht="27.75" customHeight="1">
      <c r="B11" s="384" t="s">
        <v>25</v>
      </c>
      <c r="C11" s="182" t="s">
        <v>82</v>
      </c>
      <c r="D11" s="182"/>
      <c r="E11" s="181" t="s">
        <v>154</v>
      </c>
      <c r="F11" s="183"/>
      <c r="G11" s="186"/>
      <c r="H11" s="374"/>
      <c r="I11" s="342">
        <v>10</v>
      </c>
    </row>
    <row r="12" spans="2:9" ht="27.75" customHeight="1">
      <c r="B12" s="383" t="s">
        <v>110</v>
      </c>
      <c r="C12" s="336" t="s">
        <v>288</v>
      </c>
      <c r="D12" s="187"/>
      <c r="E12" s="181" t="s">
        <v>100</v>
      </c>
      <c r="F12" s="183">
        <v>1</v>
      </c>
      <c r="G12" s="186"/>
      <c r="H12" s="374"/>
      <c r="I12" s="392">
        <v>0.1</v>
      </c>
    </row>
    <row r="13" spans="2:9" ht="27.75" customHeight="1">
      <c r="B13" s="384" t="s">
        <v>32</v>
      </c>
      <c r="C13" s="182" t="s">
        <v>131</v>
      </c>
      <c r="D13" s="182"/>
      <c r="E13" s="181" t="s">
        <v>40</v>
      </c>
      <c r="F13" s="183">
        <f>ROUND(20*62/60,1)</f>
        <v>20.7</v>
      </c>
      <c r="G13" s="186"/>
      <c r="H13" s="374"/>
      <c r="I13" s="342">
        <v>14</v>
      </c>
    </row>
    <row r="14" spans="2:9" s="191" customFormat="1" ht="27.75" customHeight="1">
      <c r="B14" s="384" t="s">
        <v>83</v>
      </c>
      <c r="C14" s="182" t="s">
        <v>22</v>
      </c>
      <c r="D14" s="181"/>
      <c r="E14" s="181" t="s">
        <v>40</v>
      </c>
      <c r="F14" s="183">
        <f>ROUND(20*6/60,1)</f>
        <v>2</v>
      </c>
      <c r="G14" s="186"/>
      <c r="H14" s="374"/>
      <c r="I14" s="342">
        <v>14</v>
      </c>
    </row>
    <row r="15" spans="2:9" s="191" customFormat="1" ht="27.75" customHeight="1">
      <c r="B15" s="182"/>
      <c r="C15" s="182"/>
      <c r="D15" s="181"/>
      <c r="E15" s="181"/>
      <c r="F15" s="183"/>
      <c r="G15" s="186"/>
      <c r="H15" s="374"/>
      <c r="I15" s="342"/>
    </row>
    <row r="16" spans="2:9" s="191" customFormat="1" ht="27.75" customHeight="1">
      <c r="B16" s="182"/>
      <c r="C16" s="182"/>
      <c r="D16" s="181"/>
      <c r="E16" s="181"/>
      <c r="F16" s="183"/>
      <c r="G16" s="186"/>
      <c r="H16" s="374"/>
      <c r="I16" s="342"/>
    </row>
    <row r="17" spans="2:9" s="191" customFormat="1" ht="27.75" customHeight="1">
      <c r="B17" s="181"/>
      <c r="C17" s="182"/>
      <c r="D17" s="181"/>
      <c r="E17" s="181"/>
      <c r="F17" s="183"/>
      <c r="G17" s="184"/>
      <c r="H17" s="37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1" t="s">
        <v>101</v>
      </c>
      <c r="C20" s="182"/>
      <c r="D20" s="181"/>
      <c r="E20" s="188"/>
      <c r="F20" s="189"/>
      <c r="G20" s="186"/>
      <c r="H20" s="184"/>
      <c r="I20" s="185" t="s">
        <v>254</v>
      </c>
    </row>
    <row r="21" ht="4.5" customHeight="1"/>
    <row r="22" spans="4:5" ht="27.75" customHeight="1">
      <c r="D22" s="70"/>
      <c r="E22" s="414"/>
    </row>
  </sheetData>
  <sheetProtection/>
  <conditionalFormatting sqref="F13:F16 G5:H20 F9:F11 I12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3">
      <selection activeCell="F32" sqref="F3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23</v>
      </c>
      <c r="C2" s="171"/>
      <c r="D2" s="172" t="s">
        <v>129</v>
      </c>
      <c r="E2" s="173"/>
      <c r="F2" s="174"/>
      <c r="G2" s="174"/>
      <c r="H2" s="174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182" t="s">
        <v>133</v>
      </c>
      <c r="C5" s="182" t="s">
        <v>302</v>
      </c>
      <c r="D5" s="181"/>
      <c r="E5" s="181" t="s">
        <v>154</v>
      </c>
      <c r="F5" s="183"/>
      <c r="G5" s="184"/>
      <c r="H5" s="184"/>
      <c r="I5" s="185" t="s">
        <v>289</v>
      </c>
    </row>
    <row r="6" spans="2:9" ht="27.75" customHeight="1">
      <c r="B6" s="181"/>
      <c r="C6" s="182" t="s">
        <v>132</v>
      </c>
      <c r="D6" s="181"/>
      <c r="E6" s="181" t="s">
        <v>154</v>
      </c>
      <c r="F6" s="183"/>
      <c r="G6" s="184"/>
      <c r="H6" s="184"/>
      <c r="I6" s="185" t="s">
        <v>290</v>
      </c>
    </row>
    <row r="7" spans="2:9" ht="27.75" customHeight="1">
      <c r="B7" s="181"/>
      <c r="C7" s="182" t="s">
        <v>301</v>
      </c>
      <c r="D7" s="181"/>
      <c r="E7" s="181" t="s">
        <v>154</v>
      </c>
      <c r="F7" s="183"/>
      <c r="G7" s="184"/>
      <c r="H7" s="184"/>
      <c r="I7" s="185" t="s">
        <v>291</v>
      </c>
    </row>
    <row r="8" spans="2:9" ht="27.75" customHeight="1">
      <c r="B8" s="181" t="s">
        <v>134</v>
      </c>
      <c r="C8" s="182" t="s">
        <v>302</v>
      </c>
      <c r="D8" s="181"/>
      <c r="E8" s="181" t="s">
        <v>154</v>
      </c>
      <c r="F8" s="183"/>
      <c r="G8" s="186"/>
      <c r="H8" s="184"/>
      <c r="I8" s="185" t="s">
        <v>289</v>
      </c>
    </row>
    <row r="9" spans="2:9" ht="27.75" customHeight="1">
      <c r="B9" s="181"/>
      <c r="C9" s="182" t="s">
        <v>132</v>
      </c>
      <c r="D9" s="181"/>
      <c r="E9" s="181" t="s">
        <v>154</v>
      </c>
      <c r="F9" s="183"/>
      <c r="G9" s="186"/>
      <c r="H9" s="184"/>
      <c r="I9" s="185" t="s">
        <v>290</v>
      </c>
    </row>
    <row r="10" spans="2:9" ht="27.75" customHeight="1">
      <c r="B10" s="182"/>
      <c r="C10" s="182" t="s">
        <v>301</v>
      </c>
      <c r="D10" s="181"/>
      <c r="E10" s="181" t="s">
        <v>154</v>
      </c>
      <c r="F10" s="183"/>
      <c r="G10" s="186"/>
      <c r="H10" s="184"/>
      <c r="I10" s="185" t="s">
        <v>291</v>
      </c>
    </row>
    <row r="11" spans="2:9" ht="27.75" customHeight="1">
      <c r="B11" s="181" t="s">
        <v>135</v>
      </c>
      <c r="C11" s="182" t="s">
        <v>111</v>
      </c>
      <c r="D11" s="187"/>
      <c r="E11" s="181" t="s">
        <v>100</v>
      </c>
      <c r="F11" s="183">
        <v>1</v>
      </c>
      <c r="G11" s="186"/>
      <c r="H11" s="184"/>
      <c r="I11" s="392">
        <v>0.1</v>
      </c>
    </row>
    <row r="12" spans="2:9" ht="27.75" customHeight="1">
      <c r="B12" s="181"/>
      <c r="C12" s="197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81"/>
      <c r="E13" s="181"/>
      <c r="F13" s="183"/>
      <c r="G13" s="186"/>
      <c r="H13" s="184"/>
      <c r="I13" s="185"/>
    </row>
    <row r="14" spans="2:9" ht="27.75" customHeight="1">
      <c r="B14" s="182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s="191" customFormat="1" ht="27.75" customHeight="1">
      <c r="B18" s="182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F5:I10 G11:I11 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F32" sqref="F3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24</v>
      </c>
      <c r="C2" s="171"/>
      <c r="D2" s="172" t="s">
        <v>453</v>
      </c>
      <c r="E2" s="173"/>
      <c r="F2" s="174"/>
      <c r="G2" s="174"/>
      <c r="H2" s="395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385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25</v>
      </c>
      <c r="C5" s="182" t="s">
        <v>292</v>
      </c>
      <c r="D5" s="182" t="s">
        <v>294</v>
      </c>
      <c r="E5" s="181" t="s">
        <v>228</v>
      </c>
      <c r="F5" s="183">
        <f>'基本単価表入力表'!F4</f>
        <v>62</v>
      </c>
      <c r="G5" s="184"/>
      <c r="H5" s="184"/>
      <c r="I5" s="342">
        <v>10</v>
      </c>
    </row>
    <row r="6" spans="2:9" ht="27.75" customHeight="1">
      <c r="B6" s="384" t="s">
        <v>25</v>
      </c>
      <c r="C6" s="182" t="s">
        <v>293</v>
      </c>
      <c r="D6" s="182" t="s">
        <v>295</v>
      </c>
      <c r="E6" s="181" t="s">
        <v>228</v>
      </c>
      <c r="F6" s="183">
        <f>2*'基本単価表入力表'!F4</f>
        <v>124</v>
      </c>
      <c r="G6" s="374"/>
      <c r="H6" s="184"/>
      <c r="I6" s="185"/>
    </row>
    <row r="7" spans="2:9" ht="27.75" customHeight="1">
      <c r="B7" s="383" t="s">
        <v>0</v>
      </c>
      <c r="C7" s="182"/>
      <c r="D7" s="181" t="s">
        <v>452</v>
      </c>
      <c r="E7" s="181" t="s">
        <v>229</v>
      </c>
      <c r="F7" s="183">
        <f>SUM('基本単価表入力表'!F5:F6)</f>
        <v>18</v>
      </c>
      <c r="G7" s="184"/>
      <c r="H7" s="184"/>
      <c r="I7" s="185"/>
    </row>
    <row r="8" spans="2:9" ht="27.75" customHeight="1">
      <c r="B8" s="383" t="s">
        <v>1</v>
      </c>
      <c r="C8" s="182" t="s">
        <v>233</v>
      </c>
      <c r="D8" s="181" t="s">
        <v>281</v>
      </c>
      <c r="E8" s="181" t="s">
        <v>229</v>
      </c>
      <c r="F8" s="183">
        <f>'基本単価表入力表'!G4</f>
        <v>4</v>
      </c>
      <c r="G8" s="186"/>
      <c r="H8" s="184"/>
      <c r="I8" s="185"/>
    </row>
    <row r="9" spans="2:9" ht="27.75" customHeight="1">
      <c r="B9" s="383" t="s">
        <v>110</v>
      </c>
      <c r="C9" s="182" t="s">
        <v>65</v>
      </c>
      <c r="D9" s="187"/>
      <c r="E9" s="181" t="s">
        <v>100</v>
      </c>
      <c r="F9" s="183">
        <v>1</v>
      </c>
      <c r="G9" s="186"/>
      <c r="H9" s="184"/>
      <c r="I9" s="392">
        <v>0.1</v>
      </c>
    </row>
    <row r="10" spans="2:9" ht="27.75" customHeight="1">
      <c r="B10" s="384" t="s">
        <v>102</v>
      </c>
      <c r="C10" s="182" t="s">
        <v>15</v>
      </c>
      <c r="D10" s="182" t="s">
        <v>373</v>
      </c>
      <c r="E10" s="181" t="s">
        <v>123</v>
      </c>
      <c r="F10" s="198">
        <f>'基本単価表入力表'!C46*1.2</f>
        <v>21600</v>
      </c>
      <c r="G10" s="186"/>
      <c r="H10" s="184"/>
      <c r="I10" s="185"/>
    </row>
    <row r="11" spans="2:9" ht="27.75" customHeight="1">
      <c r="B11" s="383" t="s">
        <v>102</v>
      </c>
      <c r="C11" s="182" t="s">
        <v>237</v>
      </c>
      <c r="D11" s="182" t="s">
        <v>354</v>
      </c>
      <c r="E11" s="181" t="s">
        <v>123</v>
      </c>
      <c r="F11" s="183">
        <f>'基本単価表入力表'!C50</f>
        <v>32</v>
      </c>
      <c r="G11" s="186"/>
      <c r="H11" s="184"/>
      <c r="I11" s="185"/>
    </row>
    <row r="12" spans="2:9" ht="27.75" customHeight="1">
      <c r="B12" s="383" t="s">
        <v>103</v>
      </c>
      <c r="C12" s="182" t="s">
        <v>72</v>
      </c>
      <c r="D12" s="181"/>
      <c r="E12" s="181" t="s">
        <v>123</v>
      </c>
      <c r="F12" s="198">
        <f>'基本単価表入力表'!C48</f>
        <v>3100</v>
      </c>
      <c r="G12" s="186"/>
      <c r="H12" s="184"/>
      <c r="I12" s="185"/>
    </row>
    <row r="13" spans="2:9" ht="27.75" customHeight="1">
      <c r="B13" s="384" t="s">
        <v>16</v>
      </c>
      <c r="C13" s="182" t="s">
        <v>53</v>
      </c>
      <c r="D13" s="336" t="s">
        <v>296</v>
      </c>
      <c r="E13" s="181" t="s">
        <v>17</v>
      </c>
      <c r="F13" s="183">
        <v>2</v>
      </c>
      <c r="G13" s="199"/>
      <c r="H13" s="184"/>
      <c r="I13" s="185"/>
    </row>
    <row r="14" spans="2:9" s="191" customFormat="1" ht="27.75" customHeight="1">
      <c r="B14" s="384" t="s">
        <v>16</v>
      </c>
      <c r="C14" s="182" t="s">
        <v>298</v>
      </c>
      <c r="D14" s="181" t="s">
        <v>50</v>
      </c>
      <c r="E14" s="181" t="s">
        <v>17</v>
      </c>
      <c r="F14" s="183">
        <v>2</v>
      </c>
      <c r="G14" s="184"/>
      <c r="H14" s="184"/>
      <c r="I14" s="185"/>
    </row>
    <row r="15" spans="2:9" s="191" customFormat="1" ht="27.75" customHeight="1">
      <c r="B15" s="383" t="s">
        <v>16</v>
      </c>
      <c r="C15" s="182" t="s">
        <v>299</v>
      </c>
      <c r="D15" s="181" t="s">
        <v>51</v>
      </c>
      <c r="E15" s="181" t="s">
        <v>17</v>
      </c>
      <c r="F15" s="183">
        <v>1</v>
      </c>
      <c r="G15" s="184"/>
      <c r="H15" s="184"/>
      <c r="I15" s="185"/>
    </row>
    <row r="16" spans="2:9" s="191" customFormat="1" ht="27.75" customHeight="1">
      <c r="B16" s="384" t="s">
        <v>141</v>
      </c>
      <c r="C16" s="182" t="s">
        <v>300</v>
      </c>
      <c r="D16" s="181" t="s">
        <v>140</v>
      </c>
      <c r="E16" s="181" t="s">
        <v>17</v>
      </c>
      <c r="F16" s="183">
        <v>2</v>
      </c>
      <c r="G16" s="184"/>
      <c r="H16" s="184"/>
      <c r="I16" s="185"/>
    </row>
    <row r="17" spans="2:9" ht="27.75" customHeight="1">
      <c r="B17" s="181"/>
      <c r="C17" s="182"/>
      <c r="D17" s="182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1" t="s">
        <v>238</v>
      </c>
      <c r="C20" s="182"/>
      <c r="D20" s="181"/>
      <c r="E20" s="188"/>
      <c r="F20" s="189"/>
      <c r="G20" s="186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F32" sqref="F3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25</v>
      </c>
      <c r="C2" s="171"/>
      <c r="D2" s="172" t="s">
        <v>453</v>
      </c>
      <c r="E2" s="173"/>
      <c r="F2" s="174"/>
      <c r="G2" s="174"/>
      <c r="H2" s="395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385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25</v>
      </c>
      <c r="C5" s="182" t="s">
        <v>292</v>
      </c>
      <c r="D5" s="182" t="s">
        <v>294</v>
      </c>
      <c r="E5" s="181" t="s">
        <v>228</v>
      </c>
      <c r="F5" s="183">
        <f>'基本単価表入力表'!F4</f>
        <v>62</v>
      </c>
      <c r="G5" s="184"/>
      <c r="H5" s="184"/>
      <c r="I5" s="342">
        <v>10</v>
      </c>
    </row>
    <row r="6" spans="2:9" ht="27.75" customHeight="1">
      <c r="B6" s="384" t="s">
        <v>25</v>
      </c>
      <c r="C6" s="182" t="s">
        <v>293</v>
      </c>
      <c r="D6" s="182" t="s">
        <v>295</v>
      </c>
      <c r="E6" s="181" t="s">
        <v>228</v>
      </c>
      <c r="F6" s="183">
        <f>2*'基本単価表入力表'!F4</f>
        <v>124</v>
      </c>
      <c r="G6" s="374"/>
      <c r="H6" s="184"/>
      <c r="I6" s="185"/>
    </row>
    <row r="7" spans="2:9" ht="27.75" customHeight="1">
      <c r="B7" s="383" t="s">
        <v>0</v>
      </c>
      <c r="C7" s="182"/>
      <c r="D7" s="181" t="s">
        <v>454</v>
      </c>
      <c r="E7" s="181" t="s">
        <v>229</v>
      </c>
      <c r="F7" s="183">
        <v>17</v>
      </c>
      <c r="G7" s="184"/>
      <c r="H7" s="184"/>
      <c r="I7" s="185"/>
    </row>
    <row r="8" spans="2:9" ht="27.75" customHeight="1">
      <c r="B8" s="383" t="s">
        <v>1</v>
      </c>
      <c r="C8" s="182" t="s">
        <v>233</v>
      </c>
      <c r="D8" s="181" t="s">
        <v>281</v>
      </c>
      <c r="E8" s="181" t="s">
        <v>229</v>
      </c>
      <c r="F8" s="183">
        <f>'基本単価表入力表'!G4</f>
        <v>4</v>
      </c>
      <c r="G8" s="186"/>
      <c r="H8" s="184"/>
      <c r="I8" s="185"/>
    </row>
    <row r="9" spans="2:9" ht="27.75" customHeight="1">
      <c r="B9" s="383" t="s">
        <v>110</v>
      </c>
      <c r="C9" s="182" t="s">
        <v>65</v>
      </c>
      <c r="D9" s="187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384" t="s">
        <v>102</v>
      </c>
      <c r="C10" s="182" t="s">
        <v>15</v>
      </c>
      <c r="D10" s="182" t="s">
        <v>373</v>
      </c>
      <c r="E10" s="181" t="s">
        <v>123</v>
      </c>
      <c r="F10" s="198">
        <f>'基本単価表入力表'!C46*1.2</f>
        <v>21600</v>
      </c>
      <c r="G10" s="186"/>
      <c r="H10" s="184"/>
      <c r="I10" s="185"/>
    </row>
    <row r="11" spans="2:9" ht="27.75" customHeight="1">
      <c r="B11" s="383" t="s">
        <v>102</v>
      </c>
      <c r="C11" s="182" t="s">
        <v>114</v>
      </c>
      <c r="D11" s="182" t="s">
        <v>354</v>
      </c>
      <c r="E11" s="181" t="s">
        <v>123</v>
      </c>
      <c r="F11" s="183">
        <f>'基本単価表入力表'!C50</f>
        <v>32</v>
      </c>
      <c r="G11" s="186"/>
      <c r="H11" s="184"/>
      <c r="I11" s="185"/>
    </row>
    <row r="12" spans="2:9" ht="27.75" customHeight="1">
      <c r="B12" s="383" t="s">
        <v>103</v>
      </c>
      <c r="C12" s="182" t="s">
        <v>72</v>
      </c>
      <c r="D12" s="181"/>
      <c r="E12" s="181" t="s">
        <v>123</v>
      </c>
      <c r="F12" s="198">
        <f>'基本単価表入力表'!C48</f>
        <v>3100</v>
      </c>
      <c r="G12" s="186"/>
      <c r="H12" s="184"/>
      <c r="I12" s="185"/>
    </row>
    <row r="13" spans="2:9" ht="27.75" customHeight="1">
      <c r="B13" s="384" t="s">
        <v>16</v>
      </c>
      <c r="C13" s="182" t="s">
        <v>53</v>
      </c>
      <c r="D13" s="336" t="s">
        <v>296</v>
      </c>
      <c r="E13" s="181" t="s">
        <v>17</v>
      </c>
      <c r="F13" s="183">
        <v>2</v>
      </c>
      <c r="G13" s="199"/>
      <c r="H13" s="184"/>
      <c r="I13" s="185"/>
    </row>
    <row r="14" spans="2:9" s="191" customFormat="1" ht="27.75" customHeight="1">
      <c r="B14" s="384" t="s">
        <v>16</v>
      </c>
      <c r="C14" s="182" t="s">
        <v>298</v>
      </c>
      <c r="D14" s="181" t="s">
        <v>50</v>
      </c>
      <c r="E14" s="181" t="s">
        <v>17</v>
      </c>
      <c r="F14" s="183">
        <v>2</v>
      </c>
      <c r="G14" s="184"/>
      <c r="H14" s="184"/>
      <c r="I14" s="185"/>
    </row>
    <row r="15" spans="2:9" s="191" customFormat="1" ht="27.75" customHeight="1">
      <c r="B15" s="383" t="s">
        <v>16</v>
      </c>
      <c r="C15" s="182" t="s">
        <v>299</v>
      </c>
      <c r="D15" s="181" t="s">
        <v>51</v>
      </c>
      <c r="E15" s="181" t="s">
        <v>17</v>
      </c>
      <c r="F15" s="183">
        <v>1</v>
      </c>
      <c r="G15" s="184"/>
      <c r="H15" s="184"/>
      <c r="I15" s="185"/>
    </row>
    <row r="16" spans="2:9" s="191" customFormat="1" ht="27.75" customHeight="1">
      <c r="B16" s="384" t="s">
        <v>141</v>
      </c>
      <c r="C16" s="182" t="s">
        <v>300</v>
      </c>
      <c r="D16" s="181" t="s">
        <v>140</v>
      </c>
      <c r="E16" s="181" t="s">
        <v>17</v>
      </c>
      <c r="F16" s="183">
        <v>2</v>
      </c>
      <c r="G16" s="184"/>
      <c r="H16" s="184"/>
      <c r="I16" s="185"/>
    </row>
    <row r="17" spans="2:9" ht="27.75" customHeight="1">
      <c r="B17" s="181"/>
      <c r="C17" s="182"/>
      <c r="D17" s="182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1" t="s">
        <v>238</v>
      </c>
      <c r="C20" s="182"/>
      <c r="D20" s="181"/>
      <c r="E20" s="188"/>
      <c r="F20" s="189"/>
      <c r="G20" s="186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K16" sqref="K16"/>
    </sheetView>
  </sheetViews>
  <sheetFormatPr defaultColWidth="10.875" defaultRowHeight="15" customHeight="1"/>
  <cols>
    <col min="1" max="1" width="5.875" style="67" customWidth="1"/>
    <col min="2" max="3" width="10.875" style="67" customWidth="1"/>
    <col min="4" max="5" width="6.875" style="67" customWidth="1"/>
    <col min="6" max="6" width="10.875" style="70" customWidth="1"/>
    <col min="7" max="7" width="14.875" style="166" customWidth="1"/>
    <col min="8" max="9" width="14.875" style="131" customWidth="1"/>
    <col min="10" max="11" width="7.875" style="131" customWidth="1"/>
    <col min="12" max="16" width="14.875" style="70" customWidth="1"/>
    <col min="17" max="16384" width="10.875" style="70" customWidth="1"/>
  </cols>
  <sheetData>
    <row r="1" spans="1:16" s="60" customFormat="1" ht="14.25">
      <c r="A1" s="58"/>
      <c r="B1" s="58"/>
      <c r="C1" s="59"/>
      <c r="D1" s="59"/>
      <c r="G1" s="61"/>
      <c r="H1" s="61"/>
      <c r="I1" s="61"/>
      <c r="J1" s="61"/>
      <c r="K1" s="63"/>
      <c r="L1" s="62" t="s">
        <v>139</v>
      </c>
      <c r="M1" s="62" t="s">
        <v>138</v>
      </c>
      <c r="N1" s="62" t="s">
        <v>136</v>
      </c>
      <c r="O1" s="62" t="s">
        <v>137</v>
      </c>
      <c r="P1" s="62" t="s">
        <v>54</v>
      </c>
    </row>
    <row r="2" spans="1:16" s="60" customFormat="1" ht="55.5" customHeight="1">
      <c r="A2" s="58"/>
      <c r="B2" s="58"/>
      <c r="C2" s="59"/>
      <c r="D2" s="59"/>
      <c r="E2" s="456" t="s">
        <v>389</v>
      </c>
      <c r="F2" s="457"/>
      <c r="G2" s="457"/>
      <c r="H2" s="457"/>
      <c r="I2" s="457"/>
      <c r="J2" s="61"/>
      <c r="K2" s="63"/>
      <c r="L2" s="64"/>
      <c r="M2" s="64"/>
      <c r="N2" s="64"/>
      <c r="O2" s="64"/>
      <c r="P2" s="64"/>
    </row>
    <row r="3" spans="1:16" ht="30" customHeight="1">
      <c r="A3" s="65" t="s">
        <v>55</v>
      </c>
      <c r="B3" s="66"/>
      <c r="C3" s="9" t="s">
        <v>56</v>
      </c>
      <c r="E3" s="60"/>
      <c r="F3" s="60"/>
      <c r="G3" s="68"/>
      <c r="H3" s="68"/>
      <c r="I3" s="68"/>
      <c r="J3" s="61"/>
      <c r="K3" s="61"/>
      <c r="L3" s="69"/>
      <c r="M3" s="69"/>
      <c r="N3" s="69"/>
      <c r="O3" s="69"/>
      <c r="P3" s="69"/>
    </row>
    <row r="4" spans="1:16" s="60" customFormat="1" ht="13.5" customHeight="1">
      <c r="A4" s="71" t="s">
        <v>57</v>
      </c>
      <c r="B4" s="72"/>
      <c r="C4" s="71" t="s">
        <v>58</v>
      </c>
      <c r="D4" s="72"/>
      <c r="E4" s="71" t="s">
        <v>26</v>
      </c>
      <c r="F4" s="73"/>
      <c r="G4" s="466" t="s">
        <v>27</v>
      </c>
      <c r="H4" s="467"/>
      <c r="I4" s="74" t="s">
        <v>28</v>
      </c>
      <c r="J4" s="71" t="s">
        <v>59</v>
      </c>
      <c r="K4" s="73"/>
      <c r="L4" s="74" t="s">
        <v>187</v>
      </c>
      <c r="M4" s="74" t="s">
        <v>188</v>
      </c>
      <c r="N4" s="454" t="s">
        <v>60</v>
      </c>
      <c r="O4" s="455"/>
      <c r="P4" s="73"/>
    </row>
    <row r="5" spans="1:16" s="28" customFormat="1" ht="19.5" customHeight="1" thickBot="1">
      <c r="A5" s="75">
        <f>'基本単価表入力表'!C2</f>
        <v>26</v>
      </c>
      <c r="B5" s="76" t="s">
        <v>61</v>
      </c>
      <c r="C5" s="438" t="s">
        <v>408</v>
      </c>
      <c r="D5" s="439"/>
      <c r="E5" s="440" t="s">
        <v>409</v>
      </c>
      <c r="F5" s="441"/>
      <c r="G5" s="468" t="s">
        <v>410</v>
      </c>
      <c r="H5" s="469"/>
      <c r="I5" s="77" t="s">
        <v>48</v>
      </c>
      <c r="J5" s="444" t="s">
        <v>388</v>
      </c>
      <c r="K5" s="445"/>
      <c r="L5" s="312" t="str">
        <f>'基本単価表入力表'!C2&amp;".2"</f>
        <v>26.2</v>
      </c>
      <c r="M5" s="312" t="str">
        <f>L5</f>
        <v>26.2</v>
      </c>
      <c r="N5" s="78" t="s">
        <v>49</v>
      </c>
      <c r="O5" s="79"/>
      <c r="P5" s="76"/>
    </row>
    <row r="6" spans="1:16" s="60" customFormat="1" ht="13.5" customHeight="1">
      <c r="A6" s="80" t="s">
        <v>41</v>
      </c>
      <c r="B6" s="81"/>
      <c r="C6" s="82"/>
      <c r="D6" s="73"/>
      <c r="E6" s="83" t="s">
        <v>66</v>
      </c>
      <c r="F6" s="84"/>
      <c r="G6" s="85"/>
      <c r="H6" s="86"/>
      <c r="I6" s="84"/>
      <c r="J6" s="87"/>
      <c r="K6" s="88" t="s">
        <v>67</v>
      </c>
      <c r="L6" s="73"/>
      <c r="M6" s="71"/>
      <c r="N6" s="89"/>
      <c r="O6" s="29"/>
      <c r="P6" s="73"/>
    </row>
    <row r="7" spans="1:16" s="67" customFormat="1" ht="15.75" customHeight="1">
      <c r="A7" s="90"/>
      <c r="B7" s="91"/>
      <c r="C7" s="92"/>
      <c r="D7" s="93"/>
      <c r="E7" s="94"/>
      <c r="F7" s="458" t="s">
        <v>145</v>
      </c>
      <c r="G7" s="458"/>
      <c r="H7" s="458"/>
      <c r="I7" s="458"/>
      <c r="J7" s="459"/>
      <c r="K7" s="462" t="s">
        <v>227</v>
      </c>
      <c r="L7" s="463"/>
      <c r="M7" s="450" t="str">
        <f>"契約期間　契約締結日から平成"&amp;'基本単価表入力表'!C2+4&amp;"年3月31日まで"</f>
        <v>契約期間　契約締結日から平成30年3月31日まで</v>
      </c>
      <c r="N7" s="451"/>
      <c r="O7" s="452"/>
      <c r="P7" s="453"/>
    </row>
    <row r="8" spans="1:16" s="61" customFormat="1" ht="19.5" customHeight="1" thickBot="1">
      <c r="A8" s="368" t="s">
        <v>74</v>
      </c>
      <c r="B8" s="449"/>
      <c r="C8" s="449"/>
      <c r="D8" s="369" t="s">
        <v>75</v>
      </c>
      <c r="E8" s="95"/>
      <c r="F8" s="460"/>
      <c r="G8" s="460"/>
      <c r="H8" s="460"/>
      <c r="I8" s="460"/>
      <c r="J8" s="461"/>
      <c r="K8" s="464"/>
      <c r="L8" s="465"/>
      <c r="M8" s="446" t="str">
        <f>"履行期間　平成"&amp;'基本単価表入力表'!C2&amp;"年4月１日から平成"&amp;'基本単価表入力表'!C2+4&amp;"年3月31日まで"</f>
        <v>履行期間　平成26年4月１日から平成30年3月31日まで</v>
      </c>
      <c r="N8" s="447"/>
      <c r="O8" s="447"/>
      <c r="P8" s="448"/>
    </row>
    <row r="9" spans="1:16" s="60" customFormat="1" ht="19.5" customHeight="1">
      <c r="A9" s="96" t="s">
        <v>186</v>
      </c>
      <c r="B9" s="97"/>
      <c r="C9" s="97"/>
      <c r="D9" s="97"/>
      <c r="E9" s="97"/>
      <c r="F9" s="97"/>
      <c r="G9" s="97"/>
      <c r="H9" s="98"/>
      <c r="I9" s="99"/>
      <c r="J9" s="99"/>
      <c r="K9" s="99"/>
      <c r="L9" s="97"/>
      <c r="M9" s="100"/>
      <c r="N9" s="100"/>
      <c r="O9" s="100"/>
      <c r="P9" s="101"/>
    </row>
    <row r="10" spans="1:16" s="104" customFormat="1" ht="19.5" customHeight="1">
      <c r="A10" s="102"/>
      <c r="B10" s="103"/>
      <c r="C10" s="442" t="s">
        <v>203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3"/>
    </row>
    <row r="11" spans="1:16" s="114" customFormat="1" ht="19.5" customHeight="1">
      <c r="A11" s="105"/>
      <c r="B11" s="106"/>
      <c r="C11" s="107"/>
      <c r="D11" s="106"/>
      <c r="E11" s="106"/>
      <c r="F11" s="106"/>
      <c r="G11" s="108"/>
      <c r="H11" s="109"/>
      <c r="I11" s="110"/>
      <c r="J11" s="110"/>
      <c r="K11" s="110"/>
      <c r="L11" s="111"/>
      <c r="M11" s="112"/>
      <c r="N11" s="112"/>
      <c r="O11" s="112"/>
      <c r="P11" s="113"/>
    </row>
    <row r="12" spans="1:16" ht="16.5" customHeight="1">
      <c r="A12" s="115" t="s">
        <v>76</v>
      </c>
      <c r="B12" s="116"/>
      <c r="C12" s="116"/>
      <c r="D12" s="116"/>
      <c r="E12" s="116"/>
      <c r="F12" s="117"/>
      <c r="G12" s="118"/>
      <c r="H12" s="119"/>
      <c r="I12" s="120"/>
      <c r="J12" s="120"/>
      <c r="K12" s="120"/>
      <c r="L12" s="117"/>
      <c r="M12" s="82"/>
      <c r="N12" s="82"/>
      <c r="O12" s="82"/>
      <c r="P12" s="73"/>
    </row>
    <row r="13" spans="1:16" ht="16.5" customHeight="1">
      <c r="A13" s="121"/>
      <c r="B13" s="122"/>
      <c r="C13" s="123"/>
      <c r="D13" s="123"/>
      <c r="E13" s="123"/>
      <c r="F13" s="124"/>
      <c r="G13" s="366"/>
      <c r="H13" s="367"/>
      <c r="I13" s="125"/>
      <c r="J13" s="126"/>
      <c r="K13" s="127"/>
      <c r="L13" s="128"/>
      <c r="P13" s="93"/>
    </row>
    <row r="14" spans="1:16" ht="16.5" customHeight="1">
      <c r="A14" s="121"/>
      <c r="B14" s="124"/>
      <c r="C14" s="70"/>
      <c r="D14" s="123"/>
      <c r="E14" s="123"/>
      <c r="G14" s="129"/>
      <c r="H14" s="130"/>
      <c r="J14" s="67"/>
      <c r="P14" s="93"/>
    </row>
    <row r="15" spans="1:16" ht="25.5" customHeight="1">
      <c r="A15" s="121"/>
      <c r="B15" s="123" t="str">
        <f>'内訳書'!A5</f>
        <v>総合運営管理業務</v>
      </c>
      <c r="C15" s="70"/>
      <c r="D15" s="123"/>
      <c r="E15" s="70"/>
      <c r="F15" s="131" t="s">
        <v>104</v>
      </c>
      <c r="G15" s="129"/>
      <c r="H15" s="132"/>
      <c r="I15" s="127"/>
      <c r="J15" s="104"/>
      <c r="K15" s="67"/>
      <c r="L15" s="133"/>
      <c r="M15" s="134"/>
      <c r="N15" s="134"/>
      <c r="P15" s="93"/>
    </row>
    <row r="16" spans="1:16" ht="25.5" customHeight="1">
      <c r="A16" s="121"/>
      <c r="B16" s="123" t="str">
        <f>'内訳書'!A32</f>
        <v>消防用設備等保守点検業務</v>
      </c>
      <c r="C16" s="70"/>
      <c r="D16" s="123"/>
      <c r="E16" s="123"/>
      <c r="F16" s="131" t="s">
        <v>104</v>
      </c>
      <c r="G16" s="129"/>
      <c r="H16" s="130"/>
      <c r="I16" s="127"/>
      <c r="J16" s="104"/>
      <c r="K16" s="126"/>
      <c r="L16" s="135"/>
      <c r="M16" s="136"/>
      <c r="N16" s="136"/>
      <c r="O16" s="137"/>
      <c r="P16" s="138"/>
    </row>
    <row r="17" spans="1:16" ht="25.5" customHeight="1">
      <c r="A17" s="121"/>
      <c r="B17" s="123" t="str">
        <f>'内訳書'!A41</f>
        <v>公園便所清掃業務</v>
      </c>
      <c r="C17" s="70"/>
      <c r="D17" s="123"/>
      <c r="E17" s="139"/>
      <c r="F17" s="131" t="s">
        <v>104</v>
      </c>
      <c r="G17" s="129"/>
      <c r="H17" s="130"/>
      <c r="I17" s="127"/>
      <c r="J17" s="104"/>
      <c r="K17" s="126"/>
      <c r="L17" s="135"/>
      <c r="M17" s="136"/>
      <c r="N17" s="136"/>
      <c r="O17" s="140"/>
      <c r="P17" s="93"/>
    </row>
    <row r="18" spans="1:16" ht="25.5" customHeight="1">
      <c r="A18" s="121"/>
      <c r="B18" s="124"/>
      <c r="C18" s="70"/>
      <c r="D18" s="123"/>
      <c r="E18" s="139"/>
      <c r="G18" s="129"/>
      <c r="H18" s="130"/>
      <c r="I18" s="127"/>
      <c r="K18" s="126"/>
      <c r="L18" s="135"/>
      <c r="M18" s="136"/>
      <c r="N18" s="136"/>
      <c r="O18" s="140"/>
      <c r="P18" s="141"/>
    </row>
    <row r="19" spans="1:16" ht="25.5" customHeight="1">
      <c r="A19" s="142"/>
      <c r="B19" s="124"/>
      <c r="C19" s="70"/>
      <c r="D19" s="143"/>
      <c r="E19" s="123"/>
      <c r="G19" s="129"/>
      <c r="H19" s="130"/>
      <c r="I19" s="127"/>
      <c r="J19" s="70"/>
      <c r="K19" s="126"/>
      <c r="L19" s="126"/>
      <c r="M19" s="144"/>
      <c r="N19" s="144"/>
      <c r="O19" s="145"/>
      <c r="P19" s="93"/>
    </row>
    <row r="20" spans="1:16" ht="16.5" customHeight="1">
      <c r="A20" s="146"/>
      <c r="B20" s="124"/>
      <c r="C20" s="70"/>
      <c r="D20" s="123"/>
      <c r="E20" s="123"/>
      <c r="G20" s="129"/>
      <c r="H20" s="130"/>
      <c r="I20" s="127"/>
      <c r="J20" s="126"/>
      <c r="L20" s="147"/>
      <c r="M20" s="144"/>
      <c r="N20" s="144"/>
      <c r="O20" s="145"/>
      <c r="P20" s="93"/>
    </row>
    <row r="21" spans="1:16" ht="16.5" customHeight="1">
      <c r="A21" s="121"/>
      <c r="B21" s="124"/>
      <c r="C21" s="70"/>
      <c r="G21" s="129"/>
      <c r="H21" s="132"/>
      <c r="I21" s="148"/>
      <c r="J21" s="70"/>
      <c r="L21" s="149"/>
      <c r="M21" s="144"/>
      <c r="N21" s="144"/>
      <c r="O21" s="145"/>
      <c r="P21" s="93"/>
    </row>
    <row r="22" spans="1:16" ht="16.5" customHeight="1">
      <c r="A22" s="150"/>
      <c r="B22" s="124"/>
      <c r="C22" s="70"/>
      <c r="G22" s="129"/>
      <c r="H22" s="132"/>
      <c r="I22" s="124"/>
      <c r="J22" s="70"/>
      <c r="K22" s="148"/>
      <c r="L22" s="127"/>
      <c r="M22" s="144"/>
      <c r="N22" s="144"/>
      <c r="P22" s="93"/>
    </row>
    <row r="23" spans="1:16" ht="16.5" customHeight="1">
      <c r="A23" s="150"/>
      <c r="B23" s="124"/>
      <c r="C23" s="70"/>
      <c r="G23" s="129"/>
      <c r="H23" s="151"/>
      <c r="K23" s="67"/>
      <c r="L23" s="131"/>
      <c r="M23" s="144"/>
      <c r="N23" s="144"/>
      <c r="P23" s="93"/>
    </row>
    <row r="24" spans="1:16" ht="16.5" customHeight="1">
      <c r="A24" s="150"/>
      <c r="B24" s="124"/>
      <c r="C24" s="70"/>
      <c r="G24" s="129"/>
      <c r="H24" s="151"/>
      <c r="J24" s="70"/>
      <c r="K24" s="124"/>
      <c r="L24" s="124"/>
      <c r="M24" s="144"/>
      <c r="N24" s="144"/>
      <c r="P24" s="93"/>
    </row>
    <row r="25" spans="1:16" ht="16.5" customHeight="1">
      <c r="A25" s="150"/>
      <c r="B25" s="124"/>
      <c r="C25" s="70"/>
      <c r="G25" s="129"/>
      <c r="H25" s="151"/>
      <c r="J25" s="104"/>
      <c r="P25" s="93"/>
    </row>
    <row r="26" spans="1:16" ht="16.5" customHeight="1">
      <c r="A26" s="150"/>
      <c r="B26" s="124"/>
      <c r="C26" s="70"/>
      <c r="G26" s="129"/>
      <c r="H26" s="151"/>
      <c r="J26" s="104"/>
      <c r="L26" s="131"/>
      <c r="M26" s="152"/>
      <c r="N26" s="152"/>
      <c r="P26" s="93"/>
    </row>
    <row r="27" spans="1:16" ht="16.5" customHeight="1">
      <c r="A27" s="150"/>
      <c r="B27" s="124"/>
      <c r="C27" s="436"/>
      <c r="D27" s="437"/>
      <c r="E27" s="437"/>
      <c r="G27" s="129"/>
      <c r="H27" s="153"/>
      <c r="J27" s="70"/>
      <c r="L27" s="131"/>
      <c r="M27" s="152"/>
      <c r="N27" s="152"/>
      <c r="P27" s="93"/>
    </row>
    <row r="28" spans="1:16" ht="16.5" customHeight="1">
      <c r="A28" s="150"/>
      <c r="C28" s="124"/>
      <c r="D28" s="126"/>
      <c r="E28" s="154"/>
      <c r="F28" s="131"/>
      <c r="G28" s="155"/>
      <c r="H28" s="153"/>
      <c r="I28" s="156"/>
      <c r="J28" s="70"/>
      <c r="L28" s="131"/>
      <c r="M28" s="152"/>
      <c r="N28" s="152"/>
      <c r="P28" s="93"/>
    </row>
    <row r="29" spans="1:16" ht="16.5" customHeight="1">
      <c r="A29" s="157"/>
      <c r="B29" s="158"/>
      <c r="C29" s="159"/>
      <c r="D29" s="159"/>
      <c r="E29" s="159"/>
      <c r="F29" s="160"/>
      <c r="G29" s="161"/>
      <c r="H29" s="162"/>
      <c r="I29" s="163"/>
      <c r="J29" s="160"/>
      <c r="K29" s="160"/>
      <c r="L29" s="164"/>
      <c r="M29" s="164"/>
      <c r="N29" s="164"/>
      <c r="O29" s="164"/>
      <c r="P29" s="165"/>
    </row>
    <row r="32" ht="15" customHeight="1">
      <c r="G32" s="414"/>
    </row>
  </sheetData>
  <sheetProtection/>
  <mergeCells count="14">
    <mergeCell ref="N4:O4"/>
    <mergeCell ref="E2:I2"/>
    <mergeCell ref="F7:J8"/>
    <mergeCell ref="K7:L8"/>
    <mergeCell ref="G4:H4"/>
    <mergeCell ref="G5:H5"/>
    <mergeCell ref="C27:E27"/>
    <mergeCell ref="C5:D5"/>
    <mergeCell ref="E5:F5"/>
    <mergeCell ref="C10:P10"/>
    <mergeCell ref="J5:K5"/>
    <mergeCell ref="M8:P8"/>
    <mergeCell ref="B8:C8"/>
    <mergeCell ref="M7:P7"/>
  </mergeCells>
  <conditionalFormatting sqref="B8:C8">
    <cfRule type="expression" priority="1" dxfId="59" stopIfTrue="1">
      <formula>$G$32=1</formula>
    </cfRule>
  </conditionalFormatting>
  <printOptions horizontalCentered="1"/>
  <pageMargins left="0.1968503937007874" right="0.1968503937007874" top="1.1811023622047245" bottom="0" header="0.7874015748031497" footer="0.1968503937007874"/>
  <pageSetup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F32" sqref="F3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26</v>
      </c>
      <c r="C2" s="171"/>
      <c r="D2" s="172" t="s">
        <v>311</v>
      </c>
      <c r="E2" s="173"/>
      <c r="F2" s="174"/>
      <c r="G2" s="174"/>
      <c r="H2" s="174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314</v>
      </c>
      <c r="C5" s="327" t="s">
        <v>316</v>
      </c>
      <c r="D5" s="182"/>
      <c r="E5" s="181" t="s">
        <v>2</v>
      </c>
      <c r="F5" s="183"/>
      <c r="G5" s="184"/>
      <c r="H5" s="184"/>
      <c r="I5" s="342">
        <v>13</v>
      </c>
    </row>
    <row r="6" spans="2:9" ht="27.75" customHeight="1">
      <c r="B6" s="383" t="s">
        <v>110</v>
      </c>
      <c r="C6" s="336" t="s">
        <v>315</v>
      </c>
      <c r="D6" s="187"/>
      <c r="E6" s="181" t="s">
        <v>100</v>
      </c>
      <c r="F6" s="183">
        <v>1</v>
      </c>
      <c r="G6" s="186"/>
      <c r="H6" s="184"/>
      <c r="I6" s="392">
        <v>0.01</v>
      </c>
    </row>
    <row r="7" spans="2:9" ht="27.75" customHeight="1">
      <c r="B7" s="383"/>
      <c r="C7" s="182"/>
      <c r="D7" s="181"/>
      <c r="E7" s="181"/>
      <c r="F7" s="183"/>
      <c r="G7" s="184"/>
      <c r="H7" s="184"/>
      <c r="I7" s="185"/>
    </row>
    <row r="8" spans="2:9" ht="27.75" customHeight="1">
      <c r="B8" s="181"/>
      <c r="C8" s="182"/>
      <c r="D8" s="181"/>
      <c r="E8" s="181"/>
      <c r="F8" s="183"/>
      <c r="G8" s="184"/>
      <c r="H8" s="184"/>
      <c r="I8" s="185"/>
    </row>
    <row r="9" spans="2:9" ht="27.75" customHeight="1">
      <c r="B9" s="181"/>
      <c r="C9" s="182"/>
      <c r="D9" s="181"/>
      <c r="E9" s="181"/>
      <c r="F9" s="183"/>
      <c r="G9" s="186"/>
      <c r="H9" s="184"/>
      <c r="I9" s="185"/>
    </row>
    <row r="10" spans="2:9" ht="27.75" customHeight="1">
      <c r="B10" s="181"/>
      <c r="C10" s="182"/>
      <c r="D10" s="181"/>
      <c r="E10" s="181"/>
      <c r="F10" s="183"/>
      <c r="G10" s="186"/>
      <c r="H10" s="184"/>
      <c r="I10" s="185"/>
    </row>
    <row r="11" spans="2:9" ht="27.75" customHeight="1">
      <c r="B11" s="182"/>
      <c r="C11" s="182"/>
      <c r="D11" s="182"/>
      <c r="E11" s="181"/>
      <c r="F11" s="183"/>
      <c r="G11" s="186"/>
      <c r="H11" s="184"/>
      <c r="I11" s="214"/>
    </row>
    <row r="12" spans="2:9" ht="27.75" customHeight="1">
      <c r="B12" s="181"/>
      <c r="C12" s="182"/>
      <c r="D12" s="196"/>
      <c r="E12" s="181"/>
      <c r="F12" s="183"/>
      <c r="G12" s="186"/>
      <c r="H12" s="184"/>
      <c r="I12" s="335"/>
    </row>
    <row r="13" spans="2:9" ht="27.75" customHeight="1">
      <c r="B13" s="181"/>
      <c r="C13" s="336"/>
      <c r="D13" s="187"/>
      <c r="E13" s="181"/>
      <c r="F13" s="183"/>
      <c r="G13" s="186"/>
      <c r="H13" s="184"/>
      <c r="I13" s="334"/>
    </row>
    <row r="14" spans="2:9" ht="27.75" customHeight="1">
      <c r="B14" s="182"/>
      <c r="C14" s="182"/>
      <c r="D14" s="182"/>
      <c r="E14" s="181"/>
      <c r="F14" s="183"/>
      <c r="G14" s="186"/>
      <c r="H14" s="184"/>
      <c r="I14" s="342"/>
    </row>
    <row r="15" spans="2:9" s="191" customFormat="1" ht="27.75" customHeight="1">
      <c r="B15" s="182"/>
      <c r="C15" s="182"/>
      <c r="D15" s="181"/>
      <c r="E15" s="181"/>
      <c r="F15" s="183"/>
      <c r="G15" s="186"/>
      <c r="H15" s="184"/>
      <c r="I15" s="342"/>
    </row>
    <row r="16" spans="2:9" s="191" customFormat="1" ht="27.75" customHeight="1">
      <c r="B16" s="182"/>
      <c r="C16" s="182"/>
      <c r="D16" s="181"/>
      <c r="E16" s="181"/>
      <c r="F16" s="183"/>
      <c r="G16" s="186"/>
      <c r="H16" s="184"/>
      <c r="I16" s="342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1" t="s">
        <v>101</v>
      </c>
      <c r="C20" s="182"/>
      <c r="D20" s="181"/>
      <c r="E20" s="188"/>
      <c r="F20" s="189"/>
      <c r="G20" s="186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F5 I6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0">
      <selection activeCell="F32" sqref="F32"/>
    </sheetView>
  </sheetViews>
  <sheetFormatPr defaultColWidth="10.875" defaultRowHeight="39" customHeight="1"/>
  <cols>
    <col min="1" max="1" width="1.00390625" style="145" customWidth="1"/>
    <col min="2" max="2" width="26.875" style="167" customWidth="1"/>
    <col min="3" max="3" width="24.875" style="167" customWidth="1"/>
    <col min="4" max="4" width="24.875" style="145" customWidth="1"/>
    <col min="5" max="5" width="7.25390625" style="168" bestFit="1" customWidth="1"/>
    <col min="6" max="6" width="12.875" style="169" customWidth="1"/>
    <col min="7" max="8" width="20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5.25" customHeight="1"/>
    <row r="2" spans="2:9" ht="39" customHeight="1">
      <c r="B2" s="170">
        <v>27</v>
      </c>
      <c r="C2" s="171"/>
      <c r="D2" s="177" t="s">
        <v>201</v>
      </c>
      <c r="E2" s="173"/>
      <c r="F2" s="174"/>
      <c r="G2" s="174"/>
      <c r="H2" s="174"/>
      <c r="I2" s="175" t="s">
        <v>223</v>
      </c>
    </row>
    <row r="3" spans="2:9" ht="39" customHeight="1">
      <c r="B3" s="176"/>
      <c r="C3" s="177" t="s">
        <v>224</v>
      </c>
      <c r="D3" s="177"/>
      <c r="E3" s="173"/>
      <c r="F3" s="174"/>
      <c r="G3" s="174"/>
      <c r="H3" s="174"/>
      <c r="I3" s="178"/>
    </row>
    <row r="4" spans="2:9" s="180" customFormat="1" ht="39" customHeight="1">
      <c r="B4" s="200" t="s">
        <v>77</v>
      </c>
      <c r="C4" s="200" t="s">
        <v>78</v>
      </c>
      <c r="D4" s="200" t="s">
        <v>79</v>
      </c>
      <c r="E4" s="200" t="s">
        <v>80</v>
      </c>
      <c r="F4" s="200" t="s">
        <v>9</v>
      </c>
      <c r="G4" s="200" t="s">
        <v>10</v>
      </c>
      <c r="H4" s="200" t="s">
        <v>11</v>
      </c>
      <c r="I4" s="200" t="s">
        <v>12</v>
      </c>
    </row>
    <row r="5" spans="2:9" ht="39" customHeight="1">
      <c r="B5" s="201" t="s">
        <v>195</v>
      </c>
      <c r="C5" s="182" t="s">
        <v>297</v>
      </c>
      <c r="D5" s="182" t="s">
        <v>196</v>
      </c>
      <c r="E5" s="181" t="s">
        <v>17</v>
      </c>
      <c r="F5" s="198">
        <v>12</v>
      </c>
      <c r="G5" s="186"/>
      <c r="H5" s="202"/>
      <c r="I5" s="203" t="s">
        <v>189</v>
      </c>
    </row>
    <row r="6" spans="2:9" ht="39" customHeight="1">
      <c r="B6" s="201" t="s">
        <v>197</v>
      </c>
      <c r="C6" s="182" t="s">
        <v>297</v>
      </c>
      <c r="D6" s="182" t="s">
        <v>198</v>
      </c>
      <c r="E6" s="181" t="s">
        <v>17</v>
      </c>
      <c r="F6" s="198">
        <v>12</v>
      </c>
      <c r="G6" s="186"/>
      <c r="H6" s="202"/>
      <c r="I6" s="203" t="s">
        <v>189</v>
      </c>
    </row>
    <row r="7" spans="2:9" ht="39" customHeight="1">
      <c r="B7" s="201" t="s">
        <v>199</v>
      </c>
      <c r="C7" s="182" t="s">
        <v>297</v>
      </c>
      <c r="D7" s="182" t="s">
        <v>200</v>
      </c>
      <c r="E7" s="181" t="s">
        <v>17</v>
      </c>
      <c r="F7" s="198">
        <v>12</v>
      </c>
      <c r="G7" s="186"/>
      <c r="H7" s="202"/>
      <c r="I7" s="203" t="s">
        <v>189</v>
      </c>
    </row>
    <row r="8" spans="2:9" ht="39" customHeight="1">
      <c r="B8" s="181"/>
      <c r="C8" s="181"/>
      <c r="D8" s="181"/>
      <c r="E8" s="181"/>
      <c r="F8" s="198"/>
      <c r="G8" s="202"/>
      <c r="H8" s="202"/>
      <c r="I8" s="204"/>
    </row>
    <row r="9" spans="2:9" ht="39" customHeight="1">
      <c r="B9" s="185"/>
      <c r="C9" s="181"/>
      <c r="D9" s="181"/>
      <c r="E9" s="181"/>
      <c r="F9" s="198"/>
      <c r="G9" s="202"/>
      <c r="H9" s="202"/>
      <c r="I9" s="205"/>
    </row>
    <row r="10" spans="2:9" ht="39" customHeight="1">
      <c r="B10" s="185"/>
      <c r="C10" s="181"/>
      <c r="D10" s="181"/>
      <c r="E10" s="181"/>
      <c r="F10" s="198"/>
      <c r="G10" s="202"/>
      <c r="H10" s="202"/>
      <c r="I10" s="205"/>
    </row>
    <row r="11" spans="2:9" ht="39" customHeight="1">
      <c r="B11" s="185"/>
      <c r="C11" s="181"/>
      <c r="D11" s="181"/>
      <c r="E11" s="181"/>
      <c r="F11" s="198"/>
      <c r="G11" s="202"/>
      <c r="H11" s="202"/>
      <c r="I11" s="205"/>
    </row>
    <row r="12" spans="2:9" ht="39" customHeight="1">
      <c r="B12" s="181"/>
      <c r="C12" s="185"/>
      <c r="D12" s="190"/>
      <c r="E12" s="181"/>
      <c r="F12" s="198"/>
      <c r="G12" s="202"/>
      <c r="H12" s="202"/>
      <c r="I12" s="203"/>
    </row>
    <row r="13" spans="2:9" ht="39" customHeight="1">
      <c r="B13" s="185"/>
      <c r="C13" s="185"/>
      <c r="D13" s="203"/>
      <c r="E13" s="181"/>
      <c r="F13" s="198"/>
      <c r="G13" s="202"/>
      <c r="H13" s="202"/>
      <c r="I13" s="203"/>
    </row>
    <row r="14" spans="2:9" ht="39" customHeight="1">
      <c r="B14" s="181"/>
      <c r="C14" s="185"/>
      <c r="D14" s="203"/>
      <c r="E14" s="181"/>
      <c r="F14" s="198"/>
      <c r="G14" s="202"/>
      <c r="H14" s="202"/>
      <c r="I14" s="203"/>
    </row>
    <row r="15" spans="2:9" s="191" customFormat="1" ht="39" customHeight="1">
      <c r="B15" s="181" t="s">
        <v>98</v>
      </c>
      <c r="C15" s="185"/>
      <c r="D15" s="203"/>
      <c r="E15" s="181"/>
      <c r="F15" s="198"/>
      <c r="G15" s="202"/>
      <c r="H15" s="202"/>
      <c r="I15" s="185" t="s">
        <v>254</v>
      </c>
    </row>
    <row r="16" spans="6:8" ht="39" customHeight="1">
      <c r="F16" s="415"/>
      <c r="H16" s="207"/>
    </row>
  </sheetData>
  <sheetProtection/>
  <conditionalFormatting sqref="H15 G5:I14">
    <cfRule type="expression" priority="1" dxfId="59" stopIfTrue="1">
      <formula>$F$16=1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I16"/>
  <sheetViews>
    <sheetView zoomScalePageLayoutView="0" workbookViewId="0" topLeftCell="A10">
      <selection activeCell="D17" sqref="D17"/>
    </sheetView>
  </sheetViews>
  <sheetFormatPr defaultColWidth="10.875" defaultRowHeight="39" customHeight="1"/>
  <cols>
    <col min="1" max="1" width="1.00390625" style="145" customWidth="1"/>
    <col min="2" max="2" width="26.875" style="167" customWidth="1"/>
    <col min="3" max="3" width="23.75390625" style="167" customWidth="1"/>
    <col min="4" max="4" width="26.00390625" style="145" customWidth="1"/>
    <col min="5" max="5" width="7.25390625" style="168" bestFit="1" customWidth="1"/>
    <col min="6" max="6" width="12.875" style="169" customWidth="1"/>
    <col min="7" max="8" width="20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5.25" customHeight="1"/>
    <row r="2" spans="2:9" ht="39" customHeight="1">
      <c r="B2" s="170">
        <v>28</v>
      </c>
      <c r="C2" s="171"/>
      <c r="D2" s="177" t="s">
        <v>213</v>
      </c>
      <c r="E2" s="173"/>
      <c r="F2" s="174"/>
      <c r="G2" s="174"/>
      <c r="H2" s="174"/>
      <c r="I2" s="175" t="s">
        <v>223</v>
      </c>
    </row>
    <row r="3" spans="2:9" ht="39" customHeight="1">
      <c r="B3" s="176"/>
      <c r="C3" s="177" t="s">
        <v>224</v>
      </c>
      <c r="D3" s="177"/>
      <c r="E3" s="173"/>
      <c r="F3" s="174"/>
      <c r="G3" s="174"/>
      <c r="H3" s="174"/>
      <c r="I3" s="178"/>
    </row>
    <row r="4" spans="2:9" s="180" customFormat="1" ht="39" customHeight="1">
      <c r="B4" s="200" t="s">
        <v>77</v>
      </c>
      <c r="C4" s="200" t="s">
        <v>78</v>
      </c>
      <c r="D4" s="200" t="s">
        <v>79</v>
      </c>
      <c r="E4" s="200" t="s">
        <v>80</v>
      </c>
      <c r="F4" s="200" t="s">
        <v>9</v>
      </c>
      <c r="G4" s="200" t="s">
        <v>10</v>
      </c>
      <c r="H4" s="200" t="s">
        <v>11</v>
      </c>
      <c r="I4" s="200" t="s">
        <v>12</v>
      </c>
    </row>
    <row r="5" spans="2:9" ht="39" customHeight="1">
      <c r="B5" s="384" t="s">
        <v>308</v>
      </c>
      <c r="C5" s="182"/>
      <c r="D5" s="182" t="s">
        <v>214</v>
      </c>
      <c r="E5" s="181" t="s">
        <v>17</v>
      </c>
      <c r="F5" s="198">
        <v>2</v>
      </c>
      <c r="G5" s="186"/>
      <c r="H5" s="202"/>
      <c r="I5" s="203" t="s">
        <v>189</v>
      </c>
    </row>
    <row r="6" spans="2:9" ht="39" customHeight="1">
      <c r="B6" s="386" t="s">
        <v>309</v>
      </c>
      <c r="C6" s="182"/>
      <c r="D6" s="182" t="s">
        <v>215</v>
      </c>
      <c r="E6" s="181" t="s">
        <v>17</v>
      </c>
      <c r="F6" s="198">
        <v>1</v>
      </c>
      <c r="G6" s="186"/>
      <c r="H6" s="202"/>
      <c r="I6" s="203" t="s">
        <v>189</v>
      </c>
    </row>
    <row r="7" spans="2:9" ht="39" customHeight="1">
      <c r="B7" s="201"/>
      <c r="C7" s="182"/>
      <c r="D7" s="182"/>
      <c r="E7" s="181"/>
      <c r="F7" s="198"/>
      <c r="G7" s="202"/>
      <c r="H7" s="202"/>
      <c r="I7" s="209"/>
    </row>
    <row r="8" spans="2:9" ht="39" customHeight="1">
      <c r="B8" s="181"/>
      <c r="C8" s="181"/>
      <c r="D8" s="181"/>
      <c r="E8" s="181"/>
      <c r="F8" s="198"/>
      <c r="G8" s="202"/>
      <c r="H8" s="202"/>
      <c r="I8" s="204"/>
    </row>
    <row r="9" spans="2:9" ht="39" customHeight="1">
      <c r="B9" s="185"/>
      <c r="C9" s="181"/>
      <c r="D9" s="181"/>
      <c r="E9" s="181"/>
      <c r="F9" s="198"/>
      <c r="G9" s="202"/>
      <c r="H9" s="202"/>
      <c r="I9" s="205"/>
    </row>
    <row r="10" spans="2:9" ht="39" customHeight="1">
      <c r="B10" s="181"/>
      <c r="C10" s="185"/>
      <c r="D10" s="190"/>
      <c r="E10" s="181"/>
      <c r="F10" s="198"/>
      <c r="G10" s="202"/>
      <c r="H10" s="202"/>
      <c r="I10" s="203"/>
    </row>
    <row r="11" spans="2:9" ht="39" customHeight="1">
      <c r="B11" s="181"/>
      <c r="C11" s="185"/>
      <c r="D11" s="190"/>
      <c r="E11" s="181"/>
      <c r="F11" s="198"/>
      <c r="G11" s="202"/>
      <c r="H11" s="202"/>
      <c r="I11" s="203"/>
    </row>
    <row r="12" spans="2:9" ht="39" customHeight="1">
      <c r="B12" s="181"/>
      <c r="C12" s="185"/>
      <c r="D12" s="203"/>
      <c r="E12" s="181"/>
      <c r="F12" s="198"/>
      <c r="G12" s="202"/>
      <c r="H12" s="202"/>
      <c r="I12" s="203"/>
    </row>
    <row r="13" spans="2:9" ht="39" customHeight="1">
      <c r="B13" s="185"/>
      <c r="C13" s="185"/>
      <c r="D13" s="203"/>
      <c r="E13" s="181"/>
      <c r="F13" s="198"/>
      <c r="G13" s="202"/>
      <c r="H13" s="202"/>
      <c r="I13" s="203"/>
    </row>
    <row r="14" spans="2:9" ht="39" customHeight="1">
      <c r="B14" s="181"/>
      <c r="C14" s="185"/>
      <c r="D14" s="203"/>
      <c r="E14" s="181"/>
      <c r="F14" s="198"/>
      <c r="G14" s="202"/>
      <c r="H14" s="202"/>
      <c r="I14" s="203"/>
    </row>
    <row r="15" spans="2:9" s="191" customFormat="1" ht="39" customHeight="1">
      <c r="B15" s="210" t="s">
        <v>239</v>
      </c>
      <c r="C15" s="211"/>
      <c r="D15" s="206"/>
      <c r="E15" s="210"/>
      <c r="F15" s="212"/>
      <c r="G15" s="213"/>
      <c r="H15" s="202"/>
      <c r="I15" s="185" t="s">
        <v>254</v>
      </c>
    </row>
    <row r="16" spans="5:8" ht="39" customHeight="1">
      <c r="E16" s="414"/>
      <c r="H16" s="207"/>
    </row>
  </sheetData>
  <sheetProtection/>
  <conditionalFormatting sqref="G5:I14 H15">
    <cfRule type="expression" priority="2" dxfId="59" stopIfTrue="1">
      <formula>$E$16=1</formula>
    </cfRule>
  </conditionalFormatting>
  <conditionalFormatting sqref="H5:H6">
    <cfRule type="expression" priority="1" dxfId="59" stopIfTrue="1">
      <formula>$F$16=1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7">
      <selection activeCell="D17" sqref="D1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29</v>
      </c>
      <c r="C2" s="396"/>
      <c r="D2" s="172" t="s">
        <v>413</v>
      </c>
      <c r="E2" s="173"/>
      <c r="F2" s="174"/>
      <c r="G2" s="174"/>
      <c r="H2" s="174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tr">
        <f>'公園トイレ清掃１'!G2</f>
        <v>公園便所清掃１</v>
      </c>
      <c r="C5" s="214" t="s">
        <v>378</v>
      </c>
      <c r="D5" s="185" t="s">
        <v>303</v>
      </c>
      <c r="E5" s="181" t="s">
        <v>17</v>
      </c>
      <c r="F5" s="183">
        <v>365</v>
      </c>
      <c r="G5" s="184"/>
      <c r="H5" s="184"/>
      <c r="I5" s="342">
        <v>11</v>
      </c>
    </row>
    <row r="6" spans="2:9" ht="27.75" customHeight="1">
      <c r="B6" s="384" t="str">
        <f>'公園トイレ清掃２'!G2</f>
        <v>公園便所清掃２</v>
      </c>
      <c r="C6" s="214" t="s">
        <v>379</v>
      </c>
      <c r="D6" s="327" t="s">
        <v>304</v>
      </c>
      <c r="E6" s="181" t="s">
        <v>17</v>
      </c>
      <c r="F6" s="183">
        <f>365*2</f>
        <v>730</v>
      </c>
      <c r="G6" s="184"/>
      <c r="H6" s="184"/>
      <c r="I6" s="342">
        <v>12</v>
      </c>
    </row>
    <row r="7" spans="2:9" ht="27.75" customHeight="1">
      <c r="B7" s="384" t="str">
        <f>'公園トイレ清掃１'!G2</f>
        <v>公園便所清掃１</v>
      </c>
      <c r="C7" s="214" t="s">
        <v>380</v>
      </c>
      <c r="D7" s="337" t="s">
        <v>305</v>
      </c>
      <c r="E7" s="181" t="s">
        <v>17</v>
      </c>
      <c r="F7" s="183">
        <f>ROUNDUP(365/7*3,0)*5</f>
        <v>785</v>
      </c>
      <c r="G7" s="184"/>
      <c r="H7" s="184"/>
      <c r="I7" s="342">
        <v>11</v>
      </c>
    </row>
    <row r="8" spans="2:9" ht="27.75" customHeight="1">
      <c r="B8" s="185"/>
      <c r="C8" s="182"/>
      <c r="D8" s="181"/>
      <c r="E8" s="181"/>
      <c r="F8" s="183"/>
      <c r="G8" s="186"/>
      <c r="H8" s="184"/>
      <c r="I8" s="214"/>
    </row>
    <row r="9" spans="2:9" ht="27.75" customHeight="1">
      <c r="B9" s="185"/>
      <c r="C9" s="182"/>
      <c r="D9" s="187"/>
      <c r="E9" s="181"/>
      <c r="F9" s="183"/>
      <c r="G9" s="186"/>
      <c r="H9" s="184"/>
      <c r="I9" s="208"/>
    </row>
    <row r="10" spans="2:9" ht="27.75" customHeight="1">
      <c r="B10" s="214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5"/>
      <c r="C11" s="182"/>
      <c r="D11" s="181"/>
      <c r="E11" s="181"/>
      <c r="F11" s="183"/>
      <c r="G11" s="186"/>
      <c r="H11" s="184"/>
      <c r="I11" s="208"/>
    </row>
    <row r="12" spans="2:9" ht="27.75" customHeight="1">
      <c r="B12" s="185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5"/>
      <c r="C13" s="182"/>
      <c r="D13" s="181"/>
      <c r="E13" s="181"/>
      <c r="F13" s="183"/>
      <c r="G13" s="186"/>
      <c r="H13" s="184"/>
      <c r="I13" s="208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8"/>
      <c r="F18" s="189"/>
      <c r="G18" s="186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/>
    </row>
    <row r="21" spans="2:9" s="191" customFormat="1" ht="27.75" customHeight="1">
      <c r="B21" s="181" t="s">
        <v>184</v>
      </c>
      <c r="C21" s="182"/>
      <c r="D21" s="181"/>
      <c r="E21" s="181"/>
      <c r="F21" s="183"/>
      <c r="G21" s="184"/>
      <c r="H21" s="184"/>
      <c r="I21" s="185" t="s">
        <v>254</v>
      </c>
    </row>
    <row r="22" ht="4.5" customHeight="1"/>
    <row r="23" ht="27.75" customHeight="1">
      <c r="E23" s="414"/>
    </row>
  </sheetData>
  <sheetProtection/>
  <conditionalFormatting sqref="G5:H21">
    <cfRule type="expression" priority="1" dxfId="59" stopIfTrue="1">
      <formula>$E$23=1</formula>
    </cfRule>
  </conditionalFormatting>
  <printOptions horizontalCentered="1"/>
  <pageMargins left="0.1968503937007874" right="0.1968503937007874" top="0.984251968503937" bottom="0.1968503937007874" header="0.5118110236220472" footer="0.35433070866141736"/>
  <pageSetup horizontalDpi="600" verticalDpi="600" orientation="landscape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4">
      <selection activeCell="D17" sqref="D1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30</v>
      </c>
      <c r="C2" s="171"/>
      <c r="D2" s="172" t="s">
        <v>414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tr">
        <f>'公園トイレ清掃１'!G2</f>
        <v>公園便所清掃１</v>
      </c>
      <c r="C5" s="214" t="s">
        <v>378</v>
      </c>
      <c r="D5" s="185" t="s">
        <v>303</v>
      </c>
      <c r="E5" s="181" t="s">
        <v>17</v>
      </c>
      <c r="F5" s="183">
        <v>366</v>
      </c>
      <c r="G5" s="184"/>
      <c r="H5" s="184"/>
      <c r="I5" s="342">
        <v>11</v>
      </c>
    </row>
    <row r="6" spans="2:9" ht="27.75" customHeight="1">
      <c r="B6" s="384" t="str">
        <f>'公園トイレ清掃２'!G2</f>
        <v>公園便所清掃２</v>
      </c>
      <c r="C6" s="214" t="s">
        <v>379</v>
      </c>
      <c r="D6" s="327" t="s">
        <v>304</v>
      </c>
      <c r="E6" s="181" t="s">
        <v>17</v>
      </c>
      <c r="F6" s="183">
        <f>366*2</f>
        <v>732</v>
      </c>
      <c r="G6" s="184"/>
      <c r="H6" s="184"/>
      <c r="I6" s="342">
        <v>12</v>
      </c>
    </row>
    <row r="7" spans="2:9" ht="27.75" customHeight="1">
      <c r="B7" s="384" t="str">
        <f>'公園トイレ清掃１'!G2</f>
        <v>公園便所清掃１</v>
      </c>
      <c r="C7" s="214" t="s">
        <v>380</v>
      </c>
      <c r="D7" s="337" t="s">
        <v>305</v>
      </c>
      <c r="E7" s="181" t="s">
        <v>17</v>
      </c>
      <c r="F7" s="183">
        <f>ROUNDUP(366/7*3,0)*5</f>
        <v>785</v>
      </c>
      <c r="G7" s="184"/>
      <c r="H7" s="184"/>
      <c r="I7" s="342">
        <v>11</v>
      </c>
    </row>
    <row r="8" spans="2:9" ht="27.75" customHeight="1">
      <c r="B8" s="185"/>
      <c r="C8" s="182"/>
      <c r="D8" s="181"/>
      <c r="E8" s="181"/>
      <c r="F8" s="183"/>
      <c r="G8" s="186"/>
      <c r="H8" s="184"/>
      <c r="I8" s="214"/>
    </row>
    <row r="9" spans="2:9" ht="27.75" customHeight="1">
      <c r="B9" s="185"/>
      <c r="C9" s="182"/>
      <c r="D9" s="187"/>
      <c r="E9" s="181"/>
      <c r="F9" s="183"/>
      <c r="G9" s="186"/>
      <c r="H9" s="184"/>
      <c r="I9" s="208"/>
    </row>
    <row r="10" spans="2:9" ht="27.75" customHeight="1">
      <c r="B10" s="214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5"/>
      <c r="C11" s="182"/>
      <c r="D11" s="181"/>
      <c r="E11" s="181"/>
      <c r="F11" s="183"/>
      <c r="G11" s="186"/>
      <c r="H11" s="184"/>
      <c r="I11" s="208"/>
    </row>
    <row r="12" spans="2:9" ht="27.75" customHeight="1">
      <c r="B12" s="185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5"/>
      <c r="C13" s="182"/>
      <c r="D13" s="181"/>
      <c r="E13" s="181"/>
      <c r="F13" s="183"/>
      <c r="G13" s="186"/>
      <c r="H13" s="184"/>
      <c r="I13" s="208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8"/>
      <c r="F18" s="189"/>
      <c r="G18" s="186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/>
    </row>
    <row r="21" spans="2:9" s="191" customFormat="1" ht="27.75" customHeight="1">
      <c r="B21" s="181" t="s">
        <v>184</v>
      </c>
      <c r="C21" s="182"/>
      <c r="D21" s="181"/>
      <c r="E21" s="181"/>
      <c r="F21" s="183"/>
      <c r="G21" s="184"/>
      <c r="H21" s="184"/>
      <c r="I21" s="185" t="s">
        <v>254</v>
      </c>
    </row>
    <row r="22" ht="4.5" customHeight="1"/>
    <row r="23" ht="27.75" customHeight="1">
      <c r="E23" s="414"/>
    </row>
  </sheetData>
  <sheetProtection/>
  <conditionalFormatting sqref="G5:H21">
    <cfRule type="expression" priority="1" dxfId="59" stopIfTrue="1">
      <formula>$E$23=1</formula>
    </cfRule>
  </conditionalFormatting>
  <printOptions horizontalCentered="1"/>
  <pageMargins left="0.1968503937007874" right="0.1968503937007874" top="0.984251968503937" bottom="0.1968503937007874" header="0.5118110236220472" footer="0.35433070866141736"/>
  <pageSetup horizontalDpi="600" verticalDpi="600" orientation="landscape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D17" sqref="D1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</v>
      </c>
      <c r="C2" s="171"/>
      <c r="D2" s="172" t="s">
        <v>5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182" t="s">
        <v>3</v>
      </c>
      <c r="C5" s="182" t="s">
        <v>242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181" t="s">
        <v>39</v>
      </c>
      <c r="C6" s="182" t="s">
        <v>243</v>
      </c>
      <c r="D6" s="182" t="s">
        <v>97</v>
      </c>
      <c r="E6" s="181" t="s">
        <v>40</v>
      </c>
      <c r="F6" s="183">
        <v>1.5</v>
      </c>
      <c r="G6" s="374"/>
      <c r="H6" s="184"/>
      <c r="I6" s="185"/>
    </row>
    <row r="7" spans="2:9" ht="27.75" customHeight="1">
      <c r="B7" s="181" t="s">
        <v>122</v>
      </c>
      <c r="C7" s="182"/>
      <c r="D7" s="182"/>
      <c r="E7" s="181" t="s">
        <v>229</v>
      </c>
      <c r="F7" s="183">
        <v>1</v>
      </c>
      <c r="G7" s="184"/>
      <c r="H7" s="184"/>
      <c r="I7" s="185"/>
    </row>
    <row r="8" spans="2:9" ht="27.75" customHeight="1">
      <c r="B8" s="181" t="s">
        <v>47</v>
      </c>
      <c r="C8" s="182"/>
      <c r="D8" s="182"/>
      <c r="E8" s="181" t="s">
        <v>229</v>
      </c>
      <c r="F8" s="183">
        <v>1</v>
      </c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2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2" t="s">
        <v>101</v>
      </c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7">
      <selection activeCell="D17" sqref="D1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</v>
      </c>
      <c r="C2" s="171"/>
      <c r="D2" s="172" t="s">
        <v>126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46</v>
      </c>
      <c r="C5" s="182" t="s">
        <v>244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39</v>
      </c>
      <c r="C6" s="182" t="s">
        <v>245</v>
      </c>
      <c r="D6" s="182" t="s">
        <v>64</v>
      </c>
      <c r="E6" s="181" t="s">
        <v>40</v>
      </c>
      <c r="F6" s="183">
        <v>1</v>
      </c>
      <c r="G6" s="374"/>
      <c r="H6" s="184"/>
      <c r="I6" s="185"/>
    </row>
    <row r="7" spans="2:9" ht="27.75" customHeight="1">
      <c r="B7" s="383" t="s">
        <v>122</v>
      </c>
      <c r="C7" s="182"/>
      <c r="D7" s="182"/>
      <c r="E7" s="181" t="s">
        <v>229</v>
      </c>
      <c r="F7" s="183">
        <v>1</v>
      </c>
      <c r="G7" s="184"/>
      <c r="H7" s="184"/>
      <c r="I7" s="185"/>
    </row>
    <row r="8" spans="2:9" ht="27.75" customHeight="1">
      <c r="B8" s="383" t="s">
        <v>47</v>
      </c>
      <c r="C8" s="182"/>
      <c r="D8" s="182"/>
      <c r="E8" s="181" t="s">
        <v>100</v>
      </c>
      <c r="F8" s="183">
        <v>1</v>
      </c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ht="27.75" customHeight="1">
      <c r="B14" s="182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8"/>
      <c r="F18" s="189"/>
      <c r="G18" s="186"/>
      <c r="H18" s="184"/>
      <c r="I18" s="185"/>
    </row>
    <row r="19" spans="2:9" s="191" customFormat="1" ht="27.75" customHeight="1">
      <c r="B19" s="182" t="s">
        <v>101</v>
      </c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E22" sqref="E2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3</v>
      </c>
      <c r="C2" s="171"/>
      <c r="D2" s="172" t="s">
        <v>210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46</v>
      </c>
      <c r="C5" s="182" t="s">
        <v>244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39</v>
      </c>
      <c r="C6" s="182" t="s">
        <v>246</v>
      </c>
      <c r="D6" s="182" t="s">
        <v>63</v>
      </c>
      <c r="E6" s="181" t="s">
        <v>40</v>
      </c>
      <c r="F6" s="183">
        <v>0.5</v>
      </c>
      <c r="G6" s="374"/>
      <c r="H6" s="184"/>
      <c r="I6" s="185"/>
    </row>
    <row r="7" spans="2:9" ht="27.75" customHeight="1">
      <c r="B7" s="383" t="s">
        <v>47</v>
      </c>
      <c r="C7" s="182"/>
      <c r="D7" s="182"/>
      <c r="E7" s="181" t="s">
        <v>100</v>
      </c>
      <c r="F7" s="183">
        <v>1</v>
      </c>
      <c r="G7" s="186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ht="27.75" customHeight="1">
      <c r="B14" s="182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8"/>
      <c r="F18" s="189"/>
      <c r="G18" s="186"/>
      <c r="H18" s="184"/>
      <c r="I18" s="185"/>
    </row>
    <row r="19" spans="2:9" s="191" customFormat="1" ht="27.75" customHeight="1">
      <c r="B19" s="182" t="s">
        <v>101</v>
      </c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E22" sqref="E2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4</v>
      </c>
      <c r="C2" s="171"/>
      <c r="D2" s="172" t="s">
        <v>42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46</v>
      </c>
      <c r="C5" s="182" t="s">
        <v>244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39</v>
      </c>
      <c r="C6" s="182" t="s">
        <v>245</v>
      </c>
      <c r="D6" s="182" t="s">
        <v>64</v>
      </c>
      <c r="E6" s="181" t="s">
        <v>40</v>
      </c>
      <c r="F6" s="183">
        <v>1</v>
      </c>
      <c r="G6" s="374"/>
      <c r="H6" s="184"/>
      <c r="I6" s="185"/>
    </row>
    <row r="7" spans="2:9" ht="27.75" customHeight="1">
      <c r="B7" s="383" t="s">
        <v>122</v>
      </c>
      <c r="C7" s="182"/>
      <c r="D7" s="182"/>
      <c r="E7" s="181" t="s">
        <v>229</v>
      </c>
      <c r="F7" s="183">
        <v>1</v>
      </c>
      <c r="G7" s="184"/>
      <c r="H7" s="184"/>
      <c r="I7" s="185"/>
    </row>
    <row r="8" spans="2:9" ht="27.75" customHeight="1">
      <c r="B8" s="383" t="s">
        <v>47</v>
      </c>
      <c r="C8" s="182"/>
      <c r="D8" s="182"/>
      <c r="E8" s="181" t="s">
        <v>100</v>
      </c>
      <c r="F8" s="183">
        <v>1</v>
      </c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2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2"/>
      <c r="C16" s="182"/>
      <c r="D16" s="181"/>
      <c r="E16" s="181"/>
      <c r="F16" s="183"/>
      <c r="G16" s="184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 t="s">
        <v>101</v>
      </c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1"/>
      <c r="C20" s="182"/>
      <c r="D20" s="181"/>
      <c r="E20" s="188"/>
      <c r="F20" s="189"/>
      <c r="G20" s="186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7">
      <selection activeCell="E22" sqref="E2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5</v>
      </c>
      <c r="C2" s="171"/>
      <c r="D2" s="172" t="s">
        <v>208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52</v>
      </c>
      <c r="C5" s="182" t="s">
        <v>244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39</v>
      </c>
      <c r="C6" s="182" t="s">
        <v>246</v>
      </c>
      <c r="D6" s="182" t="s">
        <v>63</v>
      </c>
      <c r="E6" s="181" t="s">
        <v>40</v>
      </c>
      <c r="F6" s="183">
        <v>0.5</v>
      </c>
      <c r="G6" s="374"/>
      <c r="H6" s="184"/>
      <c r="I6" s="185"/>
    </row>
    <row r="7" spans="2:9" ht="27.75" customHeight="1">
      <c r="B7" s="383" t="s">
        <v>47</v>
      </c>
      <c r="C7" s="182"/>
      <c r="D7" s="182"/>
      <c r="E7" s="181" t="s">
        <v>100</v>
      </c>
      <c r="F7" s="183">
        <v>1</v>
      </c>
      <c r="G7" s="184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2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2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 t="s">
        <v>101</v>
      </c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="110" zoomScaleNormal="110" zoomScalePageLayoutView="0" workbookViewId="0" topLeftCell="A7">
      <selection activeCell="A2" sqref="A2:B2"/>
    </sheetView>
  </sheetViews>
  <sheetFormatPr defaultColWidth="10.875" defaultRowHeight="27.75" customHeight="1"/>
  <cols>
    <col min="1" max="2" width="17.25390625" style="51" customWidth="1"/>
    <col min="3" max="3" width="23.25390625" style="52" customWidth="1"/>
    <col min="4" max="4" width="23.25390625" style="51" customWidth="1"/>
    <col min="5" max="5" width="6.875" style="52" customWidth="1"/>
    <col min="6" max="6" width="10.875" style="53" customWidth="1"/>
    <col min="7" max="7" width="19.00390625" style="53" customWidth="1"/>
    <col min="8" max="8" width="18.875" style="53" customWidth="1"/>
    <col min="9" max="9" width="32.875" style="35" customWidth="1"/>
    <col min="10" max="16384" width="10.875" style="35" customWidth="1"/>
  </cols>
  <sheetData>
    <row r="1" spans="1:9" ht="11.25">
      <c r="A1" s="31" t="s">
        <v>219</v>
      </c>
      <c r="B1" s="349"/>
      <c r="C1" s="361"/>
      <c r="D1" s="31" t="s">
        <v>221</v>
      </c>
      <c r="E1" s="32"/>
      <c r="F1" s="33"/>
      <c r="G1" s="33"/>
      <c r="H1" s="33"/>
      <c r="I1" s="34"/>
    </row>
    <row r="2" spans="1:9" ht="24.75" customHeight="1">
      <c r="A2" s="470"/>
      <c r="B2" s="471"/>
      <c r="C2" s="365" t="s">
        <v>90</v>
      </c>
      <c r="D2" s="357" t="str">
        <f>'設計書鑑'!F7</f>
        <v>中央公園ファミリープール管理運営その他業務</v>
      </c>
      <c r="E2" s="36"/>
      <c r="F2" s="37"/>
      <c r="G2" s="37"/>
      <c r="H2" s="37"/>
      <c r="I2" s="38"/>
    </row>
    <row r="3" spans="1:9" ht="14.25">
      <c r="A3" s="54" t="s">
        <v>222</v>
      </c>
      <c r="B3" s="54"/>
      <c r="C3" s="39"/>
      <c r="D3" s="358"/>
      <c r="E3" s="39"/>
      <c r="F3" s="40"/>
      <c r="G3" s="40"/>
      <c r="H3" s="40"/>
      <c r="I3" s="41"/>
    </row>
    <row r="4" spans="1:9" s="43" customFormat="1" ht="19.5" customHeight="1">
      <c r="A4" s="474" t="s">
        <v>77</v>
      </c>
      <c r="B4" s="475"/>
      <c r="C4" s="351" t="s">
        <v>78</v>
      </c>
      <c r="D4" s="351" t="s">
        <v>79</v>
      </c>
      <c r="E4" s="351" t="s">
        <v>80</v>
      </c>
      <c r="F4" s="351" t="s">
        <v>9</v>
      </c>
      <c r="G4" s="351" t="s">
        <v>10</v>
      </c>
      <c r="H4" s="351" t="s">
        <v>11</v>
      </c>
      <c r="I4" s="351" t="s">
        <v>12</v>
      </c>
    </row>
    <row r="5" spans="1:9" ht="19.5" customHeight="1">
      <c r="A5" s="476" t="s">
        <v>319</v>
      </c>
      <c r="B5" s="477"/>
      <c r="C5" s="411" t="s">
        <v>422</v>
      </c>
      <c r="D5" s="44"/>
      <c r="E5" s="46" t="s">
        <v>317</v>
      </c>
      <c r="F5" s="47">
        <v>2</v>
      </c>
      <c r="G5" s="352"/>
      <c r="H5" s="55"/>
      <c r="I5" s="354">
        <f>'総合運営管理業務'!B2</f>
        <v>1</v>
      </c>
    </row>
    <row r="6" spans="1:9" ht="19.5" customHeight="1">
      <c r="A6" s="412" t="s">
        <v>421</v>
      </c>
      <c r="B6" s="409"/>
      <c r="C6" s="411" t="s">
        <v>423</v>
      </c>
      <c r="D6" s="44"/>
      <c r="E6" s="46" t="s">
        <v>317</v>
      </c>
      <c r="F6" s="47">
        <v>2</v>
      </c>
      <c r="G6" s="352"/>
      <c r="H6" s="55"/>
      <c r="I6" s="354">
        <f>'総合運営管理業務 (2)'!B2</f>
        <v>2</v>
      </c>
    </row>
    <row r="7" spans="1:9" ht="19.5" customHeight="1">
      <c r="A7" s="472" t="s">
        <v>320</v>
      </c>
      <c r="B7" s="473"/>
      <c r="C7" s="411" t="s">
        <v>422</v>
      </c>
      <c r="D7" s="44"/>
      <c r="E7" s="46" t="s">
        <v>317</v>
      </c>
      <c r="F7" s="47">
        <v>2</v>
      </c>
      <c r="G7" s="352"/>
      <c r="H7" s="55"/>
      <c r="I7" s="354">
        <f>'総合案内業務'!B2</f>
        <v>3</v>
      </c>
    </row>
    <row r="8" spans="1:9" ht="19.5" customHeight="1">
      <c r="A8" s="472" t="s">
        <v>377</v>
      </c>
      <c r="B8" s="473" t="s">
        <v>318</v>
      </c>
      <c r="C8" s="411" t="s">
        <v>427</v>
      </c>
      <c r="D8" s="44"/>
      <c r="E8" s="46" t="s">
        <v>317</v>
      </c>
      <c r="F8" s="47">
        <v>2</v>
      </c>
      <c r="G8" s="353"/>
      <c r="H8" s="55"/>
      <c r="I8" s="354">
        <f>'総合案内業務(2)'!B2</f>
        <v>4</v>
      </c>
    </row>
    <row r="9" spans="1:9" ht="19.5" customHeight="1">
      <c r="A9" s="472" t="s">
        <v>321</v>
      </c>
      <c r="B9" s="473" t="s">
        <v>321</v>
      </c>
      <c r="C9" s="411" t="s">
        <v>395</v>
      </c>
      <c r="D9" s="44"/>
      <c r="E9" s="46" t="s">
        <v>317</v>
      </c>
      <c r="F9" s="47">
        <v>1</v>
      </c>
      <c r="G9" s="352"/>
      <c r="H9" s="55"/>
      <c r="I9" s="354">
        <f>'園内巡回業務'!B2</f>
        <v>5</v>
      </c>
    </row>
    <row r="10" spans="1:9" ht="19.5" customHeight="1">
      <c r="A10" s="472" t="s">
        <v>377</v>
      </c>
      <c r="B10" s="473" t="s">
        <v>318</v>
      </c>
      <c r="C10" s="411" t="s">
        <v>427</v>
      </c>
      <c r="D10" s="44"/>
      <c r="E10" s="46" t="s">
        <v>317</v>
      </c>
      <c r="F10" s="47">
        <v>2</v>
      </c>
      <c r="G10" s="352"/>
      <c r="H10" s="55"/>
      <c r="I10" s="354">
        <f>'園内巡回業務 (2)'!B2</f>
        <v>6</v>
      </c>
    </row>
    <row r="11" spans="1:9" ht="19.5" customHeight="1">
      <c r="A11" s="412" t="s">
        <v>421</v>
      </c>
      <c r="B11" s="410"/>
      <c r="C11" s="411" t="s">
        <v>435</v>
      </c>
      <c r="D11" s="44"/>
      <c r="E11" s="46" t="s">
        <v>317</v>
      </c>
      <c r="F11" s="47">
        <v>1</v>
      </c>
      <c r="G11" s="352"/>
      <c r="H11" s="55"/>
      <c r="I11" s="354">
        <f>'園内巡回業務 (3)'!B2</f>
        <v>7</v>
      </c>
    </row>
    <row r="12" spans="1:9" ht="19.5" customHeight="1">
      <c r="A12" s="472" t="s">
        <v>322</v>
      </c>
      <c r="B12" s="473" t="s">
        <v>322</v>
      </c>
      <c r="C12" s="411" t="s">
        <v>395</v>
      </c>
      <c r="D12" s="44"/>
      <c r="E12" s="46" t="s">
        <v>317</v>
      </c>
      <c r="F12" s="47">
        <v>1</v>
      </c>
      <c r="G12" s="352"/>
      <c r="H12" s="55"/>
      <c r="I12" s="354">
        <f>'プール監視業務 '!B2</f>
        <v>8</v>
      </c>
    </row>
    <row r="13" spans="1:9" ht="19.5" customHeight="1">
      <c r="A13" s="472" t="s">
        <v>377</v>
      </c>
      <c r="B13" s="473" t="s">
        <v>318</v>
      </c>
      <c r="C13" s="411" t="s">
        <v>396</v>
      </c>
      <c r="D13" s="44"/>
      <c r="E13" s="46" t="s">
        <v>317</v>
      </c>
      <c r="F13" s="47">
        <v>3</v>
      </c>
      <c r="G13" s="352"/>
      <c r="H13" s="55"/>
      <c r="I13" s="354">
        <f>'プール監視業務（2）'!B2</f>
        <v>9</v>
      </c>
    </row>
    <row r="14" spans="1:9" ht="19.5" customHeight="1">
      <c r="A14" s="472" t="s">
        <v>323</v>
      </c>
      <c r="B14" s="473" t="s">
        <v>323</v>
      </c>
      <c r="C14" s="411" t="s">
        <v>422</v>
      </c>
      <c r="D14" s="44"/>
      <c r="E14" s="46" t="s">
        <v>317</v>
      </c>
      <c r="F14" s="47">
        <v>2</v>
      </c>
      <c r="G14" s="352"/>
      <c r="H14" s="55"/>
      <c r="I14" s="354">
        <f>'ロッカー管理業務'!B2</f>
        <v>10</v>
      </c>
    </row>
    <row r="15" spans="1:9" ht="19.5" customHeight="1">
      <c r="A15" s="472" t="s">
        <v>377</v>
      </c>
      <c r="B15" s="473" t="s">
        <v>318</v>
      </c>
      <c r="C15" s="411" t="s">
        <v>427</v>
      </c>
      <c r="D15" s="44"/>
      <c r="E15" s="46" t="s">
        <v>317</v>
      </c>
      <c r="F15" s="47">
        <v>2</v>
      </c>
      <c r="G15" s="352"/>
      <c r="H15" s="55"/>
      <c r="I15" s="354">
        <f>'ロッカー管理業務 (2)'!B2</f>
        <v>11</v>
      </c>
    </row>
    <row r="16" spans="1:9" ht="19.5" customHeight="1">
      <c r="A16" s="472" t="s">
        <v>324</v>
      </c>
      <c r="B16" s="473" t="s">
        <v>324</v>
      </c>
      <c r="C16" s="411" t="s">
        <v>395</v>
      </c>
      <c r="D16" s="44"/>
      <c r="E16" s="46" t="s">
        <v>317</v>
      </c>
      <c r="F16" s="47">
        <v>1</v>
      </c>
      <c r="G16" s="352"/>
      <c r="H16" s="55"/>
      <c r="I16" s="354">
        <f>'入退園管理業務 '!B2</f>
        <v>12</v>
      </c>
    </row>
    <row r="17" spans="1:9" ht="19.5" customHeight="1">
      <c r="A17" s="472" t="s">
        <v>377</v>
      </c>
      <c r="B17" s="473" t="s">
        <v>318</v>
      </c>
      <c r="C17" s="411" t="s">
        <v>396</v>
      </c>
      <c r="D17" s="44"/>
      <c r="E17" s="46" t="s">
        <v>317</v>
      </c>
      <c r="F17" s="47">
        <v>3</v>
      </c>
      <c r="G17" s="353"/>
      <c r="H17" s="55"/>
      <c r="I17" s="354">
        <f>'入退園管理業務（2）'!B2</f>
        <v>13</v>
      </c>
    </row>
    <row r="18" spans="1:9" ht="19.5" customHeight="1">
      <c r="A18" s="472" t="s">
        <v>325</v>
      </c>
      <c r="B18" s="473" t="s">
        <v>325</v>
      </c>
      <c r="C18" s="411" t="s">
        <v>395</v>
      </c>
      <c r="D18" s="359"/>
      <c r="E18" s="46" t="s">
        <v>317</v>
      </c>
      <c r="F18" s="47">
        <v>1</v>
      </c>
      <c r="G18" s="353"/>
      <c r="H18" s="55"/>
      <c r="I18" s="354">
        <f>'駐輪場管理業務'!B2</f>
        <v>14</v>
      </c>
    </row>
    <row r="19" spans="1:9" ht="19.5" customHeight="1">
      <c r="A19" s="472" t="s">
        <v>377</v>
      </c>
      <c r="B19" s="473" t="s">
        <v>318</v>
      </c>
      <c r="C19" s="411" t="s">
        <v>427</v>
      </c>
      <c r="D19" s="359"/>
      <c r="E19" s="46" t="s">
        <v>317</v>
      </c>
      <c r="F19" s="47">
        <v>2</v>
      </c>
      <c r="G19" s="353"/>
      <c r="H19" s="55"/>
      <c r="I19" s="354">
        <f>'駐輪場管理業務 (2)'!B2</f>
        <v>15</v>
      </c>
    </row>
    <row r="20" spans="1:9" ht="19.5" customHeight="1">
      <c r="A20" s="472" t="s">
        <v>377</v>
      </c>
      <c r="B20" s="473" t="s">
        <v>318</v>
      </c>
      <c r="C20" s="411" t="s">
        <v>435</v>
      </c>
      <c r="D20" s="359"/>
      <c r="E20" s="46" t="s">
        <v>317</v>
      </c>
      <c r="F20" s="47">
        <v>1</v>
      </c>
      <c r="G20" s="353"/>
      <c r="H20" s="55"/>
      <c r="I20" s="354">
        <f>'駐輪場管理業務 (3)'!B2</f>
        <v>16</v>
      </c>
    </row>
    <row r="21" spans="1:9" ht="19.5" customHeight="1">
      <c r="A21" s="472" t="s">
        <v>326</v>
      </c>
      <c r="B21" s="473" t="s">
        <v>326</v>
      </c>
      <c r="C21" s="411" t="s">
        <v>397</v>
      </c>
      <c r="D21" s="44"/>
      <c r="E21" s="46" t="s">
        <v>317</v>
      </c>
      <c r="F21" s="47">
        <v>2</v>
      </c>
      <c r="G21" s="353"/>
      <c r="H21" s="55"/>
      <c r="I21" s="354">
        <f>'救護業務 '!B2</f>
        <v>17</v>
      </c>
    </row>
    <row r="22" spans="1:9" ht="19.5" customHeight="1">
      <c r="A22" s="472" t="s">
        <v>377</v>
      </c>
      <c r="B22" s="473" t="s">
        <v>318</v>
      </c>
      <c r="C22" s="411" t="s">
        <v>398</v>
      </c>
      <c r="D22" s="44"/>
      <c r="E22" s="46" t="s">
        <v>317</v>
      </c>
      <c r="F22" s="47">
        <v>2</v>
      </c>
      <c r="G22" s="353"/>
      <c r="H22" s="55"/>
      <c r="I22" s="354">
        <f>'救護業務(2)'!B2</f>
        <v>18</v>
      </c>
    </row>
    <row r="23" spans="1:9" ht="19.5" customHeight="1">
      <c r="A23" s="472" t="str">
        <f>'開園準備業務'!D2</f>
        <v>開園準備業務</v>
      </c>
      <c r="B23" s="473" t="e">
        <f>開園準備業務!#REF!</f>
        <v>#REF!</v>
      </c>
      <c r="C23" s="359"/>
      <c r="D23" s="359"/>
      <c r="E23" s="46" t="s">
        <v>317</v>
      </c>
      <c r="F23" s="47">
        <v>4</v>
      </c>
      <c r="G23" s="353"/>
      <c r="H23" s="55"/>
      <c r="I23" s="354">
        <f>'開園準備業務'!B2</f>
        <v>19</v>
      </c>
    </row>
    <row r="24" spans="1:9" ht="19.5" customHeight="1">
      <c r="A24" s="472" t="str">
        <f>'閉園収納業務'!D2</f>
        <v>閉園収納業務</v>
      </c>
      <c r="B24" s="473" t="e">
        <f>閉園収納業務!#REF!</f>
        <v>#REF!</v>
      </c>
      <c r="C24" s="44"/>
      <c r="D24" s="44"/>
      <c r="E24" s="46" t="s">
        <v>317</v>
      </c>
      <c r="F24" s="47">
        <v>4</v>
      </c>
      <c r="G24" s="353"/>
      <c r="H24" s="55"/>
      <c r="I24" s="354">
        <f>'閉園収納業務'!B2</f>
        <v>20</v>
      </c>
    </row>
    <row r="25" spans="1:9" ht="19.5" customHeight="1">
      <c r="A25" s="472" t="s">
        <v>327</v>
      </c>
      <c r="B25" s="473" t="s">
        <v>327</v>
      </c>
      <c r="C25" s="411" t="s">
        <v>397</v>
      </c>
      <c r="D25" s="44"/>
      <c r="E25" s="46" t="s">
        <v>317</v>
      </c>
      <c r="F25" s="47">
        <v>2</v>
      </c>
      <c r="G25" s="353"/>
      <c r="H25" s="55"/>
      <c r="I25" s="354">
        <f>'園内清掃業務'!B2</f>
        <v>21</v>
      </c>
    </row>
    <row r="26" spans="1:9" ht="19.5" customHeight="1">
      <c r="A26" s="472" t="s">
        <v>377</v>
      </c>
      <c r="B26" s="473" t="s">
        <v>318</v>
      </c>
      <c r="C26" s="411" t="s">
        <v>398</v>
      </c>
      <c r="D26" s="44"/>
      <c r="E26" s="46" t="s">
        <v>317</v>
      </c>
      <c r="F26" s="47">
        <v>2</v>
      </c>
      <c r="G26" s="353"/>
      <c r="H26" s="55"/>
      <c r="I26" s="354">
        <f>'園内清掃業務 (2)'!B2</f>
        <v>22</v>
      </c>
    </row>
    <row r="27" spans="1:9" ht="19.5" customHeight="1">
      <c r="A27" s="472" t="str">
        <f>'設備保守管理業務'!D2</f>
        <v>設備保守管理業務</v>
      </c>
      <c r="B27" s="473" t="s">
        <v>328</v>
      </c>
      <c r="C27" s="359"/>
      <c r="D27" s="359"/>
      <c r="E27" s="46" t="s">
        <v>317</v>
      </c>
      <c r="F27" s="47">
        <v>4</v>
      </c>
      <c r="G27" s="353"/>
      <c r="H27" s="55"/>
      <c r="I27" s="354">
        <f>'設備保守管理業務'!B2</f>
        <v>23</v>
      </c>
    </row>
    <row r="28" spans="1:9" ht="19.5" customHeight="1">
      <c r="A28" s="472" t="s">
        <v>328</v>
      </c>
      <c r="B28" s="473" t="s">
        <v>328</v>
      </c>
      <c r="C28" s="411" t="s">
        <v>397</v>
      </c>
      <c r="D28" s="44"/>
      <c r="E28" s="46" t="s">
        <v>317</v>
      </c>
      <c r="F28" s="47">
        <v>2</v>
      </c>
      <c r="G28" s="352"/>
      <c r="H28" s="55"/>
      <c r="I28" s="354">
        <f>'水質管理業務'!B2</f>
        <v>24</v>
      </c>
    </row>
    <row r="29" spans="1:9" ht="19.5" customHeight="1">
      <c r="A29" s="472" t="s">
        <v>377</v>
      </c>
      <c r="B29" s="473" t="s">
        <v>318</v>
      </c>
      <c r="C29" s="411" t="s">
        <v>398</v>
      </c>
      <c r="D29" s="44"/>
      <c r="E29" s="46" t="s">
        <v>455</v>
      </c>
      <c r="F29" s="47">
        <v>2</v>
      </c>
      <c r="G29" s="352"/>
      <c r="H29" s="55"/>
      <c r="I29" s="354">
        <f>'水質管理業務 (2)'!B2</f>
        <v>25</v>
      </c>
    </row>
    <row r="30" spans="1:9" ht="19.5" customHeight="1">
      <c r="A30" s="472" t="str">
        <f>'監視員等教育業務'!D2</f>
        <v>監視員等教育業務</v>
      </c>
      <c r="B30" s="473" t="e">
        <f>監視員等教育業務!#REF!</f>
        <v>#REF!</v>
      </c>
      <c r="C30" s="44"/>
      <c r="D30" s="44"/>
      <c r="E30" s="46" t="s">
        <v>317</v>
      </c>
      <c r="F30" s="47">
        <v>4</v>
      </c>
      <c r="G30" s="352"/>
      <c r="H30" s="55"/>
      <c r="I30" s="354">
        <f>'監視員等教育業務'!B2</f>
        <v>26</v>
      </c>
    </row>
    <row r="31" spans="1:9" ht="19.5" customHeight="1">
      <c r="A31" s="476" t="str">
        <f>'自家用電気工作物点検業務'!D2</f>
        <v>自家用電気工作物点検業務</v>
      </c>
      <c r="B31" s="477" t="e">
        <f>自家用電気工作物点検業務!#REF!</f>
        <v>#REF!</v>
      </c>
      <c r="C31" s="45"/>
      <c r="D31" s="44"/>
      <c r="E31" s="46" t="s">
        <v>317</v>
      </c>
      <c r="F31" s="47">
        <v>4</v>
      </c>
      <c r="G31" s="352"/>
      <c r="H31" s="55"/>
      <c r="I31" s="354">
        <f>'自家用電気工作物点検業務'!B2</f>
        <v>27</v>
      </c>
    </row>
    <row r="32" spans="1:9" ht="19.5" customHeight="1">
      <c r="A32" s="472" t="s">
        <v>202</v>
      </c>
      <c r="B32" s="473" t="s">
        <v>202</v>
      </c>
      <c r="C32" s="380"/>
      <c r="D32" s="355"/>
      <c r="E32" s="46" t="s">
        <v>317</v>
      </c>
      <c r="F32" s="47">
        <v>4</v>
      </c>
      <c r="G32" s="352"/>
      <c r="H32" s="55"/>
      <c r="I32" s="354">
        <f>'消防用設備等保守点検業務'!B2</f>
        <v>28</v>
      </c>
    </row>
    <row r="33" ht="4.5" customHeight="1"/>
    <row r="34" spans="1:9" ht="11.25">
      <c r="A34" s="345"/>
      <c r="B34" s="345"/>
      <c r="C34" s="346"/>
      <c r="D34" s="345"/>
      <c r="E34" s="346"/>
      <c r="F34" s="347"/>
      <c r="G34" s="347"/>
      <c r="H34" s="347"/>
      <c r="I34" s="348"/>
    </row>
    <row r="35" spans="1:9" ht="14.25">
      <c r="A35" s="343" t="s">
        <v>310</v>
      </c>
      <c r="B35" s="343"/>
      <c r="C35" s="36"/>
      <c r="D35" s="360"/>
      <c r="E35" s="36"/>
      <c r="F35" s="37"/>
      <c r="G35" s="37"/>
      <c r="H35" s="37"/>
      <c r="I35" s="344"/>
    </row>
    <row r="36" spans="1:9" s="43" customFormat="1" ht="19.5" customHeight="1">
      <c r="A36" s="474" t="s">
        <v>77</v>
      </c>
      <c r="B36" s="475"/>
      <c r="C36" s="350" t="s">
        <v>78</v>
      </c>
      <c r="D36" s="356" t="s">
        <v>79</v>
      </c>
      <c r="E36" s="42" t="s">
        <v>80</v>
      </c>
      <c r="F36" s="42" t="s">
        <v>9</v>
      </c>
      <c r="G36" s="42" t="s">
        <v>10</v>
      </c>
      <c r="H36" s="42" t="s">
        <v>11</v>
      </c>
      <c r="I36" s="42" t="s">
        <v>12</v>
      </c>
    </row>
    <row r="37" spans="1:9" ht="19.5" customHeight="1">
      <c r="A37" s="478" t="s">
        <v>329</v>
      </c>
      <c r="B37" s="479"/>
      <c r="C37" s="45"/>
      <c r="D37" s="44"/>
      <c r="E37" s="49"/>
      <c r="F37" s="48"/>
      <c r="G37" s="352"/>
      <c r="H37" s="55"/>
      <c r="I37" s="354"/>
    </row>
    <row r="38" spans="1:9" ht="19.5" customHeight="1">
      <c r="A38" s="478" t="s">
        <v>330</v>
      </c>
      <c r="B38" s="479"/>
      <c r="C38" s="45"/>
      <c r="D38" s="44"/>
      <c r="E38" s="46" t="s">
        <v>100</v>
      </c>
      <c r="F38" s="47">
        <v>1</v>
      </c>
      <c r="G38" s="186"/>
      <c r="H38" s="56"/>
      <c r="I38" s="399">
        <v>0.21</v>
      </c>
    </row>
    <row r="39" spans="1:9" ht="19.5" customHeight="1">
      <c r="A39" s="478" t="s">
        <v>334</v>
      </c>
      <c r="B39" s="479"/>
      <c r="C39" s="45"/>
      <c r="D39" s="44"/>
      <c r="E39" s="46"/>
      <c r="F39" s="47"/>
      <c r="G39" s="352"/>
      <c r="H39" s="55"/>
      <c r="I39" s="354"/>
    </row>
    <row r="40" spans="1:9" ht="19.5" customHeight="1">
      <c r="A40" s="362"/>
      <c r="B40" s="363"/>
      <c r="C40" s="45"/>
      <c r="D40" s="44"/>
      <c r="E40" s="46"/>
      <c r="F40" s="47"/>
      <c r="G40" s="352"/>
      <c r="H40" s="55"/>
      <c r="I40" s="354"/>
    </row>
    <row r="41" spans="1:9" ht="19.5" customHeight="1">
      <c r="A41" s="476" t="s">
        <v>374</v>
      </c>
      <c r="B41" s="477" t="s">
        <v>374</v>
      </c>
      <c r="C41" s="364" t="s">
        <v>412</v>
      </c>
      <c r="D41" s="364"/>
      <c r="E41" s="46" t="s">
        <v>317</v>
      </c>
      <c r="F41" s="47">
        <v>3</v>
      </c>
      <c r="G41" s="352"/>
      <c r="H41" s="55"/>
      <c r="I41" s="354">
        <f>'中央公園トイレ清掃業務'!B2</f>
        <v>29</v>
      </c>
    </row>
    <row r="42" spans="1:9" ht="19.5" customHeight="1">
      <c r="A42" s="476" t="s">
        <v>377</v>
      </c>
      <c r="B42" s="477" t="s">
        <v>318</v>
      </c>
      <c r="C42" s="364" t="s">
        <v>411</v>
      </c>
      <c r="D42" s="364"/>
      <c r="E42" s="46" t="s">
        <v>317</v>
      </c>
      <c r="F42" s="47">
        <v>1</v>
      </c>
      <c r="G42" s="352"/>
      <c r="H42" s="55"/>
      <c r="I42" s="354">
        <f>'中央公園トイレ清掃業務 (2)'!B2</f>
        <v>30</v>
      </c>
    </row>
    <row r="43" spans="1:9" ht="19.5" customHeight="1">
      <c r="A43" s="478" t="s">
        <v>329</v>
      </c>
      <c r="B43" s="479"/>
      <c r="C43" s="45"/>
      <c r="D43" s="44"/>
      <c r="E43" s="49"/>
      <c r="F43" s="48"/>
      <c r="G43" s="352"/>
      <c r="H43" s="55"/>
      <c r="I43" s="354"/>
    </row>
    <row r="44" spans="1:9" ht="19.5" customHeight="1">
      <c r="A44" s="478" t="s">
        <v>331</v>
      </c>
      <c r="B44" s="479"/>
      <c r="C44" s="45"/>
      <c r="D44" s="44"/>
      <c r="E44" s="46" t="s">
        <v>100</v>
      </c>
      <c r="F44" s="47">
        <v>1</v>
      </c>
      <c r="G44" s="186"/>
      <c r="H44" s="55"/>
      <c r="I44" s="354" t="e">
        <f>"("&amp;#REF!&amp;"+"&amp;#REF!&amp;")*"&amp;#REF!&amp;"="&amp;#REF!&amp;"%"</f>
        <v>#REF!</v>
      </c>
    </row>
    <row r="45" spans="1:9" ht="19.5" customHeight="1">
      <c r="A45" s="478" t="s">
        <v>332</v>
      </c>
      <c r="B45" s="479"/>
      <c r="C45" s="45"/>
      <c r="D45" s="44"/>
      <c r="E45" s="46"/>
      <c r="F45" s="47"/>
      <c r="G45" s="352"/>
      <c r="H45" s="55"/>
      <c r="I45" s="354"/>
    </row>
    <row r="46" spans="1:9" ht="19.5" customHeight="1">
      <c r="A46" s="478" t="s">
        <v>333</v>
      </c>
      <c r="B46" s="479"/>
      <c r="C46" s="45"/>
      <c r="D46" s="44"/>
      <c r="E46" s="46" t="s">
        <v>100</v>
      </c>
      <c r="F46" s="47">
        <v>1</v>
      </c>
      <c r="G46" s="186"/>
      <c r="H46" s="55"/>
      <c r="I46" s="354" t="e">
        <f>#REF!&amp;"+"&amp;#REF!&amp;"="&amp;#REF!&amp;#REF!</f>
        <v>#REF!</v>
      </c>
    </row>
    <row r="47" spans="1:9" ht="19.5" customHeight="1">
      <c r="A47" s="478" t="s">
        <v>180</v>
      </c>
      <c r="B47" s="479"/>
      <c r="C47" s="45"/>
      <c r="D47" s="44"/>
      <c r="E47" s="49"/>
      <c r="F47" s="48"/>
      <c r="G47" s="353"/>
      <c r="H47" s="57"/>
      <c r="I47" s="354"/>
    </row>
    <row r="48" spans="1:9" ht="19.5" customHeight="1">
      <c r="A48" s="478" t="s">
        <v>181</v>
      </c>
      <c r="B48" s="479"/>
      <c r="C48" s="45"/>
      <c r="D48" s="359"/>
      <c r="E48" s="46" t="s">
        <v>100</v>
      </c>
      <c r="F48" s="47">
        <v>1</v>
      </c>
      <c r="G48" s="186"/>
      <c r="H48" s="55"/>
      <c r="I48" s="354" t="e">
        <f>#REF!&amp;"+0.04="&amp;#REF!&amp;#REF!</f>
        <v>#REF!</v>
      </c>
    </row>
    <row r="49" spans="1:9" ht="19.5" customHeight="1">
      <c r="A49" s="478" t="s">
        <v>334</v>
      </c>
      <c r="B49" s="479"/>
      <c r="C49" s="45"/>
      <c r="D49" s="359"/>
      <c r="E49" s="46"/>
      <c r="F49" s="47"/>
      <c r="G49" s="353"/>
      <c r="H49" s="55"/>
      <c r="I49" s="44"/>
    </row>
    <row r="50" spans="1:9" ht="19.5" customHeight="1">
      <c r="A50" s="480"/>
      <c r="B50" s="481"/>
      <c r="C50" s="45"/>
      <c r="D50" s="359"/>
      <c r="E50" s="46"/>
      <c r="F50" s="47"/>
      <c r="G50" s="353"/>
      <c r="H50" s="55"/>
      <c r="I50" s="44"/>
    </row>
    <row r="51" spans="1:9" ht="19.5" customHeight="1">
      <c r="A51" s="480"/>
      <c r="B51" s="481"/>
      <c r="C51" s="46"/>
      <c r="D51" s="44"/>
      <c r="E51" s="49"/>
      <c r="F51" s="48"/>
      <c r="G51" s="353"/>
      <c r="H51" s="55"/>
      <c r="I51" s="44"/>
    </row>
    <row r="52" spans="1:9" ht="19.5" customHeight="1">
      <c r="A52" s="480"/>
      <c r="B52" s="481"/>
      <c r="C52" s="46"/>
      <c r="D52" s="44"/>
      <c r="E52" s="49"/>
      <c r="F52" s="48"/>
      <c r="G52" s="353"/>
      <c r="H52" s="55"/>
      <c r="I52" s="44"/>
    </row>
    <row r="53" spans="1:9" ht="19.5" customHeight="1">
      <c r="A53" s="480" t="s">
        <v>182</v>
      </c>
      <c r="B53" s="481"/>
      <c r="C53" s="46"/>
      <c r="D53" s="44"/>
      <c r="E53" s="49"/>
      <c r="F53" s="48"/>
      <c r="G53" s="353"/>
      <c r="H53" s="55"/>
      <c r="I53" s="44" t="s">
        <v>183</v>
      </c>
    </row>
    <row r="54" spans="1:9" ht="19.5" customHeight="1">
      <c r="A54" s="480" t="s">
        <v>43</v>
      </c>
      <c r="B54" s="481"/>
      <c r="C54" s="46"/>
      <c r="D54" s="359"/>
      <c r="E54" s="46" t="s">
        <v>100</v>
      </c>
      <c r="F54" s="47">
        <v>1</v>
      </c>
      <c r="G54" s="353"/>
      <c r="H54" s="55"/>
      <c r="I54" s="398"/>
    </row>
    <row r="55" spans="1:9" ht="19.5" customHeight="1">
      <c r="A55" s="480" t="s">
        <v>44</v>
      </c>
      <c r="B55" s="481"/>
      <c r="C55" s="46"/>
      <c r="D55" s="44"/>
      <c r="E55" s="46"/>
      <c r="F55" s="47"/>
      <c r="G55" s="352"/>
      <c r="H55" s="55"/>
      <c r="I55" s="397"/>
    </row>
    <row r="56" spans="1:9" ht="19.5" customHeight="1">
      <c r="A56" s="480"/>
      <c r="B56" s="481"/>
      <c r="C56" s="46"/>
      <c r="D56" s="44"/>
      <c r="E56" s="49"/>
      <c r="F56" s="48"/>
      <c r="G56" s="353"/>
      <c r="H56" s="55"/>
      <c r="I56" s="44"/>
    </row>
    <row r="57" spans="1:9" ht="19.5" customHeight="1">
      <c r="A57" s="480"/>
      <c r="B57" s="481"/>
      <c r="C57" s="46"/>
      <c r="D57" s="359"/>
      <c r="E57" s="46"/>
      <c r="F57" s="47"/>
      <c r="G57" s="353"/>
      <c r="H57" s="55"/>
      <c r="I57" s="44"/>
    </row>
    <row r="58" spans="1:9" ht="19.5" customHeight="1">
      <c r="A58" s="480"/>
      <c r="B58" s="481"/>
      <c r="C58" s="46"/>
      <c r="D58" s="44"/>
      <c r="E58" s="46"/>
      <c r="F58" s="47"/>
      <c r="G58" s="352"/>
      <c r="H58" s="55"/>
      <c r="I58" s="50"/>
    </row>
    <row r="60" ht="27.75" customHeight="1">
      <c r="E60" s="372">
        <f>'基本単価表入力表'!C1</f>
        <v>1</v>
      </c>
    </row>
  </sheetData>
  <sheetProtection/>
  <mergeCells count="50">
    <mergeCell ref="A53:B53"/>
    <mergeCell ref="A56:B56"/>
    <mergeCell ref="A57:B57"/>
    <mergeCell ref="A58:B58"/>
    <mergeCell ref="A54:B54"/>
    <mergeCell ref="A55:B55"/>
    <mergeCell ref="A44:B44"/>
    <mergeCell ref="A45:B45"/>
    <mergeCell ref="A46:B46"/>
    <mergeCell ref="A47:B47"/>
    <mergeCell ref="A52:B52"/>
    <mergeCell ref="A48:B48"/>
    <mergeCell ref="A49:B49"/>
    <mergeCell ref="A50:B50"/>
    <mergeCell ref="A51:B51"/>
    <mergeCell ref="A43:B43"/>
    <mergeCell ref="A42:B42"/>
    <mergeCell ref="A37:B37"/>
    <mergeCell ref="A41:B41"/>
    <mergeCell ref="A24:B24"/>
    <mergeCell ref="A38:B38"/>
    <mergeCell ref="A39:B39"/>
    <mergeCell ref="A27:B27"/>
    <mergeCell ref="A28:B28"/>
    <mergeCell ref="A31:B31"/>
    <mergeCell ref="A36:B36"/>
    <mergeCell ref="A32:B32"/>
    <mergeCell ref="A14:B14"/>
    <mergeCell ref="A16:B16"/>
    <mergeCell ref="A18:B18"/>
    <mergeCell ref="A15:B15"/>
    <mergeCell ref="A26:B26"/>
    <mergeCell ref="A23:B23"/>
    <mergeCell ref="A22:B22"/>
    <mergeCell ref="A29:B29"/>
    <mergeCell ref="A30:B30"/>
    <mergeCell ref="A20:B20"/>
    <mergeCell ref="A8:B8"/>
    <mergeCell ref="A10:B10"/>
    <mergeCell ref="A25:B25"/>
    <mergeCell ref="A13:B13"/>
    <mergeCell ref="A2:B2"/>
    <mergeCell ref="A17:B17"/>
    <mergeCell ref="A12:B12"/>
    <mergeCell ref="A19:B19"/>
    <mergeCell ref="A21:B21"/>
    <mergeCell ref="A4:B4"/>
    <mergeCell ref="A5:B5"/>
    <mergeCell ref="A7:B7"/>
    <mergeCell ref="A9:B9"/>
  </mergeCells>
  <conditionalFormatting sqref="I38 A2:B2 G37:H55 I44:I53 I56 G5:H32">
    <cfRule type="expression" priority="8" dxfId="59" stopIfTrue="1">
      <formula>$E$60=1</formula>
    </cfRule>
  </conditionalFormatting>
  <conditionalFormatting sqref="G56:H58">
    <cfRule type="expression" priority="2" dxfId="59" stopIfTrue="1">
      <formula>$E$60=1</formula>
    </cfRule>
  </conditionalFormatting>
  <printOptions horizontalCentered="1"/>
  <pageMargins left="0.1968503937007874" right="0.1968503937007874" top="0.984251968503937" bottom="0" header="0.7874015748031497" footer="0.1968503937007874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7">
      <selection activeCell="E22" sqref="E2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6</v>
      </c>
      <c r="C2" s="171"/>
      <c r="D2" s="172" t="s">
        <v>207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52</v>
      </c>
      <c r="C5" s="182" t="s">
        <v>247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47</v>
      </c>
      <c r="C6" s="182"/>
      <c r="D6" s="182"/>
      <c r="E6" s="181" t="s">
        <v>100</v>
      </c>
      <c r="F6" s="183">
        <v>1</v>
      </c>
      <c r="G6" s="184"/>
      <c r="H6" s="184"/>
      <c r="I6" s="185"/>
    </row>
    <row r="7" spans="2:9" ht="27.75" customHeight="1">
      <c r="B7" s="181"/>
      <c r="C7" s="182"/>
      <c r="D7" s="182"/>
      <c r="E7" s="181"/>
      <c r="F7" s="183"/>
      <c r="G7" s="184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2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2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 t="s">
        <v>101</v>
      </c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E22" sqref="E2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7</v>
      </c>
      <c r="C2" s="171"/>
      <c r="D2" s="172" t="s">
        <v>13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81</v>
      </c>
      <c r="C5" s="182" t="s">
        <v>244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39</v>
      </c>
      <c r="C6" s="182" t="s">
        <v>246</v>
      </c>
      <c r="D6" s="182" t="s">
        <v>63</v>
      </c>
      <c r="E6" s="181" t="s">
        <v>40</v>
      </c>
      <c r="F6" s="183">
        <v>0.5</v>
      </c>
      <c r="G6" s="374"/>
      <c r="H6" s="184"/>
      <c r="I6" s="185"/>
    </row>
    <row r="7" spans="2:9" ht="27.75" customHeight="1">
      <c r="B7" s="383" t="s">
        <v>47</v>
      </c>
      <c r="C7" s="182"/>
      <c r="D7" s="182"/>
      <c r="E7" s="181" t="s">
        <v>100</v>
      </c>
      <c r="F7" s="183">
        <v>1</v>
      </c>
      <c r="G7" s="184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2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8"/>
      <c r="F18" s="189"/>
      <c r="G18" s="186"/>
      <c r="H18" s="184"/>
      <c r="I18" s="185"/>
    </row>
    <row r="19" spans="2:9" s="191" customFormat="1" ht="27.75" customHeight="1">
      <c r="B19" s="181" t="s">
        <v>101</v>
      </c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2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spans="5:6" ht="27.75" customHeight="1">
      <c r="E22" s="416">
        <f>'基本単価表入力表'!C1</f>
        <v>1</v>
      </c>
      <c r="F22" s="131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7">
      <selection activeCell="E22" sqref="E22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8</v>
      </c>
      <c r="C2" s="171"/>
      <c r="D2" s="172" t="s">
        <v>143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144</v>
      </c>
      <c r="C5" s="182" t="s">
        <v>244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39</v>
      </c>
      <c r="C6" s="182" t="s">
        <v>246</v>
      </c>
      <c r="D6" s="182" t="s">
        <v>63</v>
      </c>
      <c r="E6" s="181" t="s">
        <v>40</v>
      </c>
      <c r="F6" s="183">
        <v>0.5</v>
      </c>
      <c r="G6" s="374"/>
      <c r="H6" s="184"/>
      <c r="I6" s="185"/>
    </row>
    <row r="7" spans="2:9" ht="27.75" customHeight="1">
      <c r="B7" s="383" t="s">
        <v>47</v>
      </c>
      <c r="C7" s="182"/>
      <c r="D7" s="182"/>
      <c r="E7" s="181" t="s">
        <v>100</v>
      </c>
      <c r="F7" s="183">
        <v>1</v>
      </c>
      <c r="G7" s="184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2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 t="s">
        <v>101</v>
      </c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2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F27" sqref="F2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9</v>
      </c>
      <c r="C2" s="171"/>
      <c r="D2" s="172" t="s">
        <v>4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46</v>
      </c>
      <c r="C5" s="182" t="s">
        <v>244</v>
      </c>
      <c r="D5" s="182" t="s">
        <v>73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39</v>
      </c>
      <c r="C6" s="182" t="s">
        <v>246</v>
      </c>
      <c r="D6" s="182" t="s">
        <v>63</v>
      </c>
      <c r="E6" s="181" t="s">
        <v>40</v>
      </c>
      <c r="F6" s="183">
        <v>0.5</v>
      </c>
      <c r="G6" s="374"/>
      <c r="H6" s="184"/>
      <c r="I6" s="185"/>
    </row>
    <row r="7" spans="2:9" ht="27.75" customHeight="1">
      <c r="B7" s="383" t="s">
        <v>47</v>
      </c>
      <c r="C7" s="182"/>
      <c r="D7" s="182"/>
      <c r="E7" s="181" t="s">
        <v>229</v>
      </c>
      <c r="F7" s="183">
        <v>1</v>
      </c>
      <c r="G7" s="184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2"/>
      <c r="C15" s="182"/>
      <c r="D15" s="181"/>
      <c r="E15" s="181"/>
      <c r="F15" s="183"/>
      <c r="G15" s="184"/>
      <c r="H15" s="184"/>
      <c r="I15" s="185"/>
    </row>
    <row r="16" spans="2:9" s="191" customFormat="1" ht="27.75" customHeight="1">
      <c r="B16" s="181"/>
      <c r="C16" s="182"/>
      <c r="D16" s="181"/>
      <c r="E16" s="181"/>
      <c r="F16" s="183"/>
      <c r="G16" s="184"/>
      <c r="H16" s="184"/>
      <c r="I16" s="185"/>
    </row>
    <row r="17" spans="2:9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1"/>
      <c r="C18" s="182"/>
      <c r="D18" s="181"/>
      <c r="E18" s="188"/>
      <c r="F18" s="189"/>
      <c r="G18" s="186"/>
      <c r="H18" s="184"/>
      <c r="I18" s="185"/>
    </row>
    <row r="19" spans="2:9" s="191" customFormat="1" ht="27.75" customHeight="1">
      <c r="B19" s="181" t="s">
        <v>101</v>
      </c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2"/>
      <c r="C20" s="182"/>
      <c r="D20" s="181"/>
      <c r="E20" s="181"/>
      <c r="F20" s="183"/>
      <c r="G20" s="184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 vertic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7">
      <selection activeCell="F27" sqref="F2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10</v>
      </c>
      <c r="C2" s="171"/>
      <c r="D2" s="172" t="s">
        <v>125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45</v>
      </c>
      <c r="C5" s="182" t="s">
        <v>248</v>
      </c>
      <c r="D5" s="182" t="s">
        <v>24</v>
      </c>
      <c r="E5" s="181" t="s">
        <v>2</v>
      </c>
      <c r="F5" s="183">
        <v>1</v>
      </c>
      <c r="G5" s="184"/>
      <c r="H5" s="184"/>
      <c r="I5" s="185"/>
    </row>
    <row r="6" spans="2:9" ht="27.75" customHeight="1">
      <c r="B6" s="383" t="s">
        <v>47</v>
      </c>
      <c r="C6" s="182"/>
      <c r="D6" s="182"/>
      <c r="E6" s="181" t="s">
        <v>204</v>
      </c>
      <c r="F6" s="183">
        <v>1</v>
      </c>
      <c r="G6" s="184"/>
      <c r="H6" s="184"/>
      <c r="I6" s="185"/>
    </row>
    <row r="7" spans="2:9" ht="27.75" customHeight="1">
      <c r="B7" s="181"/>
      <c r="C7" s="182"/>
      <c r="D7" s="182"/>
      <c r="E7" s="181"/>
      <c r="F7" s="183"/>
      <c r="G7" s="184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2"/>
      <c r="C16" s="182"/>
      <c r="D16" s="181"/>
      <c r="E16" s="181"/>
      <c r="F16" s="183"/>
      <c r="G16" s="184"/>
      <c r="H16" s="184"/>
      <c r="I16" s="185"/>
    </row>
    <row r="17" spans="2:9" s="191" customFormat="1" ht="27.75" customHeight="1">
      <c r="B17" s="182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 t="s">
        <v>101</v>
      </c>
      <c r="C19" s="182"/>
      <c r="D19" s="181"/>
      <c r="E19" s="181"/>
      <c r="F19" s="183"/>
      <c r="G19" s="184"/>
      <c r="H19" s="184"/>
      <c r="I19" s="185"/>
    </row>
    <row r="20" spans="2:9" ht="27.75" customHeight="1">
      <c r="B20" s="181"/>
      <c r="C20" s="182"/>
      <c r="D20" s="181"/>
      <c r="E20" s="188"/>
      <c r="F20" s="189"/>
      <c r="G20" s="186"/>
      <c r="H20" s="184"/>
      <c r="I20" s="185" t="s">
        <v>91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V34"/>
  <sheetViews>
    <sheetView zoomScalePageLayoutView="0" workbookViewId="0" topLeftCell="A7">
      <selection activeCell="F27" sqref="F27"/>
    </sheetView>
  </sheetViews>
  <sheetFormatPr defaultColWidth="14.375" defaultRowHeight="12"/>
  <cols>
    <col min="1" max="1" width="1.00390625" style="217" customWidth="1"/>
    <col min="2" max="2" width="4.375" style="217" customWidth="1"/>
    <col min="3" max="3" width="7.875" style="217" customWidth="1"/>
    <col min="4" max="4" width="9.375" style="217" customWidth="1"/>
    <col min="5" max="5" width="12.875" style="217" customWidth="1"/>
    <col min="6" max="6" width="23.875" style="217" customWidth="1"/>
    <col min="7" max="7" width="21.125" style="217" customWidth="1"/>
    <col min="8" max="8" width="9.375" style="217" customWidth="1"/>
    <col min="9" max="10" width="21.125" style="217" customWidth="1"/>
    <col min="11" max="11" width="26.125" style="217" customWidth="1"/>
    <col min="12" max="12" width="41.125" style="217" customWidth="1"/>
    <col min="13" max="13" width="1.00390625" style="217" customWidth="1"/>
    <col min="14" max="14" width="14.375" style="217" customWidth="1"/>
    <col min="15" max="15" width="19.375" style="217" customWidth="1"/>
    <col min="16" max="16384" width="14.375" style="217" customWidth="1"/>
  </cols>
  <sheetData>
    <row r="1" ht="5.25" customHeight="1"/>
    <row r="2" spans="1:256" ht="30" customHeight="1">
      <c r="A2" s="218"/>
      <c r="B2" s="219"/>
      <c r="C2" s="484">
        <v>11</v>
      </c>
      <c r="D2" s="484"/>
      <c r="E2" s="220"/>
      <c r="F2" s="221"/>
      <c r="G2" s="221" t="s">
        <v>375</v>
      </c>
      <c r="H2" s="221"/>
      <c r="I2" s="221"/>
      <c r="J2" s="222" t="s">
        <v>156</v>
      </c>
      <c r="K2" s="222" t="s">
        <v>179</v>
      </c>
      <c r="L2" s="223" t="s">
        <v>185</v>
      </c>
      <c r="M2" s="224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  <c r="IN2" s="218"/>
      <c r="IO2" s="218"/>
      <c r="IP2" s="218"/>
      <c r="IQ2" s="218"/>
      <c r="IR2" s="218"/>
      <c r="IS2" s="218"/>
      <c r="IT2" s="218"/>
      <c r="IU2" s="218"/>
      <c r="IV2" s="218"/>
    </row>
    <row r="3" spans="1:256" ht="27.75" customHeight="1">
      <c r="A3" s="218"/>
      <c r="B3" s="225"/>
      <c r="C3" s="226"/>
      <c r="D3" s="226"/>
      <c r="E3" s="226"/>
      <c r="F3" s="227" t="s">
        <v>226</v>
      </c>
      <c r="G3" s="226"/>
      <c r="H3" s="226" t="s">
        <v>157</v>
      </c>
      <c r="I3" s="226"/>
      <c r="J3" s="226"/>
      <c r="K3" s="226"/>
      <c r="L3" s="228"/>
      <c r="M3" s="224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  <c r="IV3" s="218"/>
    </row>
    <row r="4" spans="1:256" ht="24.75" customHeight="1" thickBot="1">
      <c r="A4" s="218"/>
      <c r="B4" s="225"/>
      <c r="C4" s="226" t="s">
        <v>158</v>
      </c>
      <c r="D4" s="226"/>
      <c r="E4" s="226"/>
      <c r="F4" s="229" t="s">
        <v>159</v>
      </c>
      <c r="G4" s="229" t="s">
        <v>160</v>
      </c>
      <c r="H4" s="229" t="s">
        <v>80</v>
      </c>
      <c r="I4" s="229" t="s">
        <v>161</v>
      </c>
      <c r="J4" s="229" t="s">
        <v>162</v>
      </c>
      <c r="K4" s="229" t="s">
        <v>163</v>
      </c>
      <c r="L4" s="230" t="s">
        <v>164</v>
      </c>
      <c r="M4" s="224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18"/>
    </row>
    <row r="5" spans="2:18" ht="18" customHeight="1" thickTop="1">
      <c r="B5" s="231"/>
      <c r="C5" s="232"/>
      <c r="D5" s="232"/>
      <c r="E5" s="232"/>
      <c r="F5" s="231"/>
      <c r="G5" s="231"/>
      <c r="H5" s="233"/>
      <c r="I5" s="234"/>
      <c r="J5" s="235"/>
      <c r="K5" s="236"/>
      <c r="L5" s="237"/>
      <c r="M5" s="238"/>
      <c r="O5" s="238"/>
      <c r="P5" s="239"/>
      <c r="Q5" s="238"/>
      <c r="R5" s="238"/>
    </row>
    <row r="6" spans="2:18" ht="18" customHeight="1">
      <c r="B6" s="240"/>
      <c r="C6" s="241" t="s">
        <v>166</v>
      </c>
      <c r="D6" s="241"/>
      <c r="E6" s="241"/>
      <c r="F6" s="240"/>
      <c r="G6" s="240"/>
      <c r="H6" s="242" t="s">
        <v>165</v>
      </c>
      <c r="I6" s="243"/>
      <c r="J6" s="244">
        <f>'基本単価表入力表'!C11</f>
        <v>0</v>
      </c>
      <c r="K6" s="245">
        <f>IF(+C6="","",TRUNC(J6*I6))</f>
        <v>0</v>
      </c>
      <c r="L6" s="246" t="s">
        <v>249</v>
      </c>
      <c r="M6" s="238"/>
      <c r="O6" s="238"/>
      <c r="P6" s="239"/>
      <c r="Q6" s="238"/>
      <c r="R6" s="238"/>
    </row>
    <row r="7" spans="2:18" ht="18" customHeight="1">
      <c r="B7" s="247"/>
      <c r="C7" s="248"/>
      <c r="D7" s="248"/>
      <c r="E7" s="248"/>
      <c r="F7" s="247"/>
      <c r="G7" s="247"/>
      <c r="H7" s="249"/>
      <c r="I7" s="250"/>
      <c r="J7" s="251"/>
      <c r="K7" s="251"/>
      <c r="L7" s="252"/>
      <c r="M7" s="238"/>
      <c r="O7" s="238"/>
      <c r="P7" s="239"/>
      <c r="Q7" s="238"/>
      <c r="R7" s="238"/>
    </row>
    <row r="8" spans="2:18" ht="18" customHeight="1">
      <c r="B8" s="240"/>
      <c r="C8" s="241" t="s">
        <v>167</v>
      </c>
      <c r="D8" s="241"/>
      <c r="E8" s="241"/>
      <c r="F8" s="240"/>
      <c r="G8" s="240"/>
      <c r="H8" s="242" t="s">
        <v>168</v>
      </c>
      <c r="I8" s="243">
        <v>1</v>
      </c>
      <c r="J8" s="338" t="s">
        <v>169</v>
      </c>
      <c r="K8" s="245">
        <f>IF(+C8="","",TRUNC(SUM(K5:K6)*0.05))</f>
        <v>0</v>
      </c>
      <c r="L8" s="246" t="s">
        <v>170</v>
      </c>
      <c r="M8" s="238"/>
      <c r="O8" s="238"/>
      <c r="P8" s="239"/>
      <c r="Q8" s="238"/>
      <c r="R8" s="238"/>
    </row>
    <row r="9" spans="2:18" ht="18" customHeight="1">
      <c r="B9" s="247"/>
      <c r="C9" s="248"/>
      <c r="D9" s="248"/>
      <c r="E9" s="248"/>
      <c r="F9" s="247"/>
      <c r="G9" s="247"/>
      <c r="H9" s="249"/>
      <c r="I9" s="250"/>
      <c r="J9" s="339"/>
      <c r="K9" s="251"/>
      <c r="L9" s="252"/>
      <c r="M9" s="238"/>
      <c r="O9" s="238"/>
      <c r="P9" s="239"/>
      <c r="Q9" s="238"/>
      <c r="R9" s="238"/>
    </row>
    <row r="10" spans="2:18" ht="18" customHeight="1">
      <c r="B10" s="240"/>
      <c r="C10" s="241" t="s">
        <v>171</v>
      </c>
      <c r="D10" s="241"/>
      <c r="E10" s="241"/>
      <c r="F10" s="240" t="s">
        <v>172</v>
      </c>
      <c r="G10" s="240"/>
      <c r="H10" s="242" t="s">
        <v>168</v>
      </c>
      <c r="I10" s="243">
        <v>1</v>
      </c>
      <c r="J10" s="338" t="s">
        <v>169</v>
      </c>
      <c r="K10" s="245">
        <f>IF(+C10="","",TRUNC(SUM(K4:K6)*0.01))</f>
        <v>0</v>
      </c>
      <c r="L10" s="246" t="s">
        <v>173</v>
      </c>
      <c r="M10" s="238"/>
      <c r="O10" s="238"/>
      <c r="P10" s="239"/>
      <c r="Q10" s="238"/>
      <c r="R10" s="238"/>
    </row>
    <row r="11" spans="2:18" ht="18" customHeight="1">
      <c r="B11" s="247"/>
      <c r="C11" s="248"/>
      <c r="D11" s="248"/>
      <c r="E11" s="248"/>
      <c r="F11" s="247"/>
      <c r="G11" s="247"/>
      <c r="H11" s="249"/>
      <c r="I11" s="250"/>
      <c r="J11" s="339"/>
      <c r="K11" s="251"/>
      <c r="L11" s="252"/>
      <c r="M11" s="238"/>
      <c r="O11" s="238"/>
      <c r="P11" s="239"/>
      <c r="Q11" s="238"/>
      <c r="R11" s="238"/>
    </row>
    <row r="12" spans="2:18" ht="18" customHeight="1">
      <c r="B12" s="240"/>
      <c r="C12" s="241" t="s">
        <v>174</v>
      </c>
      <c r="D12" s="241"/>
      <c r="E12" s="241"/>
      <c r="F12" s="240"/>
      <c r="G12" s="240"/>
      <c r="H12" s="242" t="s">
        <v>168</v>
      </c>
      <c r="I12" s="243">
        <v>1</v>
      </c>
      <c r="J12" s="338" t="s">
        <v>169</v>
      </c>
      <c r="K12" s="245">
        <v>0</v>
      </c>
      <c r="L12" s="246"/>
      <c r="M12" s="238"/>
      <c r="O12" s="238"/>
      <c r="P12" s="239"/>
      <c r="Q12" s="238"/>
      <c r="R12" s="238"/>
    </row>
    <row r="13" spans="2:17" ht="18" customHeight="1">
      <c r="B13" s="247"/>
      <c r="C13" s="248"/>
      <c r="D13" s="248"/>
      <c r="E13" s="248"/>
      <c r="F13" s="247"/>
      <c r="G13" s="247"/>
      <c r="H13" s="249"/>
      <c r="I13" s="250"/>
      <c r="J13" s="251"/>
      <c r="K13" s="251"/>
      <c r="L13" s="252"/>
      <c r="M13" s="238"/>
      <c r="O13" s="238"/>
      <c r="P13" s="238"/>
      <c r="Q13" s="238"/>
    </row>
    <row r="14" spans="2:13" ht="18" customHeight="1">
      <c r="B14" s="240"/>
      <c r="C14" s="241"/>
      <c r="D14" s="241"/>
      <c r="E14" s="241"/>
      <c r="F14" s="240"/>
      <c r="G14" s="240"/>
      <c r="H14" s="242"/>
      <c r="I14" s="243"/>
      <c r="J14" s="253"/>
      <c r="K14" s="245"/>
      <c r="L14" s="246"/>
      <c r="M14" s="238"/>
    </row>
    <row r="15" spans="2:13" ht="18" customHeight="1">
      <c r="B15" s="247"/>
      <c r="C15" s="254"/>
      <c r="D15" s="254"/>
      <c r="E15" s="248"/>
      <c r="F15" s="247"/>
      <c r="G15" s="247"/>
      <c r="H15" s="249"/>
      <c r="I15" s="250"/>
      <c r="J15" s="251"/>
      <c r="K15" s="251"/>
      <c r="L15" s="252"/>
      <c r="M15" s="238"/>
    </row>
    <row r="16" spans="2:13" ht="18" customHeight="1">
      <c r="B16" s="240"/>
      <c r="C16" s="241"/>
      <c r="D16" s="241"/>
      <c r="E16" s="241"/>
      <c r="F16" s="240"/>
      <c r="G16" s="240"/>
      <c r="H16" s="242"/>
      <c r="I16" s="243"/>
      <c r="J16" s="253"/>
      <c r="K16" s="245">
        <f>IF(+C16="","",TRUNC(J16*I16))</f>
      </c>
      <c r="L16" s="246"/>
      <c r="M16" s="238"/>
    </row>
    <row r="17" spans="2:13" ht="18" customHeight="1">
      <c r="B17" s="247"/>
      <c r="C17" s="248"/>
      <c r="D17" s="248"/>
      <c r="E17" s="248"/>
      <c r="F17" s="247"/>
      <c r="G17" s="247"/>
      <c r="H17" s="249"/>
      <c r="I17" s="250"/>
      <c r="J17" s="251"/>
      <c r="K17" s="251"/>
      <c r="L17" s="252"/>
      <c r="M17" s="238"/>
    </row>
    <row r="18" spans="2:13" ht="18" customHeight="1">
      <c r="B18" s="240"/>
      <c r="C18" s="241"/>
      <c r="D18" s="241"/>
      <c r="E18" s="241"/>
      <c r="F18" s="240"/>
      <c r="G18" s="240"/>
      <c r="H18" s="242"/>
      <c r="I18" s="243"/>
      <c r="J18" s="245"/>
      <c r="K18" s="245">
        <f>IF(+C18="","",TRUNC(J18*I18))</f>
      </c>
      <c r="L18" s="246"/>
      <c r="M18" s="238"/>
    </row>
    <row r="19" spans="2:13" ht="18" customHeight="1">
      <c r="B19" s="247"/>
      <c r="C19" s="248"/>
      <c r="D19" s="248"/>
      <c r="E19" s="248"/>
      <c r="F19" s="247"/>
      <c r="G19" s="247"/>
      <c r="H19" s="249"/>
      <c r="I19" s="250"/>
      <c r="J19" s="251"/>
      <c r="K19" s="251"/>
      <c r="L19" s="252"/>
      <c r="M19" s="238"/>
    </row>
    <row r="20" spans="2:13" ht="18" customHeight="1">
      <c r="B20" s="240"/>
      <c r="C20" s="241"/>
      <c r="D20" s="241"/>
      <c r="E20" s="241"/>
      <c r="F20" s="240"/>
      <c r="G20" s="240"/>
      <c r="H20" s="242"/>
      <c r="I20" s="243"/>
      <c r="J20" s="245"/>
      <c r="K20" s="245">
        <f>IF(+C20="","",TRUNC(J20*I20))</f>
      </c>
      <c r="L20" s="246"/>
      <c r="M20" s="238"/>
    </row>
    <row r="21" spans="2:13" ht="18" customHeight="1">
      <c r="B21" s="247"/>
      <c r="C21" s="248"/>
      <c r="D21" s="248"/>
      <c r="E21" s="248"/>
      <c r="F21" s="247"/>
      <c r="G21" s="247"/>
      <c r="H21" s="249"/>
      <c r="I21" s="250"/>
      <c r="J21" s="251"/>
      <c r="K21" s="251"/>
      <c r="L21" s="252"/>
      <c r="M21" s="238"/>
    </row>
    <row r="22" spans="2:13" ht="18" customHeight="1">
      <c r="B22" s="240"/>
      <c r="C22" s="241"/>
      <c r="D22" s="241"/>
      <c r="E22" s="241"/>
      <c r="F22" s="240"/>
      <c r="G22" s="240"/>
      <c r="H22" s="242"/>
      <c r="I22" s="243"/>
      <c r="J22" s="245"/>
      <c r="K22" s="245">
        <f>IF(+C22="","",TRUNC(J22*I22))</f>
      </c>
      <c r="L22" s="246"/>
      <c r="M22" s="238"/>
    </row>
    <row r="23" spans="2:13" ht="18" customHeight="1">
      <c r="B23" s="247"/>
      <c r="C23" s="248"/>
      <c r="D23" s="248"/>
      <c r="E23" s="248"/>
      <c r="F23" s="247"/>
      <c r="G23" s="247"/>
      <c r="H23" s="249"/>
      <c r="I23" s="250"/>
      <c r="J23" s="251"/>
      <c r="K23" s="251"/>
      <c r="L23" s="252"/>
      <c r="M23" s="238"/>
    </row>
    <row r="24" spans="2:13" ht="18" customHeight="1">
      <c r="B24" s="240"/>
      <c r="C24" s="241"/>
      <c r="D24" s="241"/>
      <c r="E24" s="241"/>
      <c r="F24" s="240"/>
      <c r="G24" s="240"/>
      <c r="H24" s="242"/>
      <c r="I24" s="243"/>
      <c r="J24" s="245"/>
      <c r="K24" s="255">
        <f>IF(+C24="","",TRUNC(J24*I24))</f>
      </c>
      <c r="L24" s="256"/>
      <c r="M24" s="238"/>
    </row>
    <row r="25" spans="2:13" ht="18" customHeight="1">
      <c r="B25" s="247"/>
      <c r="C25" s="248"/>
      <c r="D25" s="248"/>
      <c r="E25" s="248"/>
      <c r="F25" s="247"/>
      <c r="G25" s="247"/>
      <c r="H25" s="249"/>
      <c r="I25" s="250"/>
      <c r="J25" s="251"/>
      <c r="K25" s="257"/>
      <c r="L25" s="252"/>
      <c r="M25" s="238"/>
    </row>
    <row r="26" spans="2:13" ht="18" customHeight="1">
      <c r="B26" s="240"/>
      <c r="C26" s="241"/>
      <c r="D26" s="241"/>
      <c r="E26" s="241"/>
      <c r="F26" s="240"/>
      <c r="G26" s="240"/>
      <c r="H26" s="242"/>
      <c r="I26" s="243"/>
      <c r="J26" s="245"/>
      <c r="K26" s="255">
        <f>IF(+C26="","",TRUNC(J26*I26))</f>
      </c>
      <c r="L26" s="246"/>
      <c r="M26" s="238"/>
    </row>
    <row r="27" spans="2:13" ht="18" customHeight="1">
      <c r="B27" s="247"/>
      <c r="C27" s="248"/>
      <c r="D27" s="248"/>
      <c r="E27" s="248"/>
      <c r="F27" s="247"/>
      <c r="G27" s="247"/>
      <c r="H27" s="249"/>
      <c r="I27" s="250"/>
      <c r="J27" s="251"/>
      <c r="K27" s="251"/>
      <c r="L27" s="252"/>
      <c r="M27" s="238"/>
    </row>
    <row r="28" spans="2:13" ht="18" customHeight="1">
      <c r="B28" s="240"/>
      <c r="C28" s="241"/>
      <c r="D28" s="241" t="s">
        <v>175</v>
      </c>
      <c r="E28" s="241"/>
      <c r="F28" s="240"/>
      <c r="G28" s="240"/>
      <c r="H28" s="242"/>
      <c r="I28" s="243"/>
      <c r="J28" s="245"/>
      <c r="K28" s="245">
        <f>IF(SUM(K6:K27)=0,"",SUM(K6:K27))</f>
      </c>
      <c r="L28" s="246"/>
      <c r="M28" s="238"/>
    </row>
    <row r="29" spans="2:13" ht="18" customHeight="1">
      <c r="B29" s="247"/>
      <c r="C29" s="248"/>
      <c r="D29" s="248"/>
      <c r="E29" s="248"/>
      <c r="F29" s="247"/>
      <c r="G29" s="247"/>
      <c r="H29" s="249"/>
      <c r="I29" s="250"/>
      <c r="J29" s="251"/>
      <c r="K29" s="251"/>
      <c r="L29" s="252"/>
      <c r="M29" s="238"/>
    </row>
    <row r="30" spans="2:13" ht="18" customHeight="1">
      <c r="B30" s="240"/>
      <c r="C30" s="241" t="s">
        <v>176</v>
      </c>
      <c r="D30" s="241"/>
      <c r="E30" s="241"/>
      <c r="F30" s="240"/>
      <c r="G30" s="240"/>
      <c r="H30" s="242"/>
      <c r="I30" s="243"/>
      <c r="J30" s="245"/>
      <c r="K30" s="245" t="e">
        <f>TRUNC(+K28/10)</f>
        <v>#VALUE!</v>
      </c>
      <c r="L30" s="246"/>
      <c r="M30" s="238"/>
    </row>
    <row r="31" spans="2:13" ht="18" customHeight="1">
      <c r="B31" s="258"/>
      <c r="C31" s="259"/>
      <c r="D31" s="259"/>
      <c r="E31" s="259"/>
      <c r="F31" s="260"/>
      <c r="G31" s="260"/>
      <c r="H31" s="260"/>
      <c r="I31" s="260"/>
      <c r="J31" s="260"/>
      <c r="K31" s="260"/>
      <c r="L31" s="261"/>
      <c r="M31" s="238"/>
    </row>
    <row r="32" spans="2:13" ht="18" customHeight="1">
      <c r="B32" s="262"/>
      <c r="C32" s="263"/>
      <c r="D32" s="263"/>
      <c r="E32" s="263"/>
      <c r="F32" s="264"/>
      <c r="G32" s="264"/>
      <c r="H32" s="264"/>
      <c r="I32" s="264"/>
      <c r="J32" s="264"/>
      <c r="K32" s="264"/>
      <c r="L32" s="265"/>
      <c r="M32" s="238"/>
    </row>
    <row r="33" spans="2:12" ht="12.75" customHeight="1">
      <c r="B33" s="238"/>
      <c r="C33" s="238"/>
      <c r="D33" s="238"/>
      <c r="E33" s="238"/>
      <c r="F33" s="238"/>
      <c r="G33" s="238"/>
      <c r="H33" s="238"/>
      <c r="I33" s="266"/>
      <c r="J33" s="238"/>
      <c r="K33" s="238"/>
      <c r="L33" s="238"/>
    </row>
    <row r="34" ht="12.75" customHeight="1">
      <c r="H34" s="266"/>
    </row>
  </sheetData>
  <sheetProtection/>
  <mergeCells count="1">
    <mergeCell ref="C2:D2"/>
  </mergeCells>
  <conditionalFormatting sqref="K7:L32 I5:K6">
    <cfRule type="expression" priority="2" dxfId="60" stopIfTrue="1">
      <formula>#REF!=1</formula>
    </cfRule>
  </conditionalFormatting>
  <conditionalFormatting sqref="J5:L30 I6">
    <cfRule type="expression" priority="1" dxfId="59" stopIfTrue="1">
      <formula>$H$34=1</formula>
    </cfRule>
  </conditionalFormatting>
  <printOptions horizontalCentered="1"/>
  <pageMargins left="0.1968503937007874" right="0.1968503937007874" top="0.984251968503937" bottom="0.1968503937007874" header="0.5118110236220472" footer="0.2362204724409449"/>
  <pageSetup horizontalDpi="600" verticalDpi="600" orientation="landscape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V34"/>
  <sheetViews>
    <sheetView zoomScalePageLayoutView="0" workbookViewId="0" topLeftCell="A10">
      <selection activeCell="F27" sqref="F27"/>
    </sheetView>
  </sheetViews>
  <sheetFormatPr defaultColWidth="14.375" defaultRowHeight="12"/>
  <cols>
    <col min="1" max="1" width="1.00390625" style="267" customWidth="1"/>
    <col min="2" max="2" width="4.375" style="267" customWidth="1"/>
    <col min="3" max="3" width="7.875" style="267" customWidth="1"/>
    <col min="4" max="4" width="9.375" style="267" customWidth="1"/>
    <col min="5" max="5" width="12.875" style="267" customWidth="1"/>
    <col min="6" max="6" width="24.00390625" style="267" customWidth="1"/>
    <col min="7" max="7" width="21.125" style="267" customWidth="1"/>
    <col min="8" max="8" width="9.375" style="267" customWidth="1"/>
    <col min="9" max="10" width="21.125" style="267" customWidth="1"/>
    <col min="11" max="11" width="26.125" style="267" customWidth="1"/>
    <col min="12" max="12" width="41.125" style="267" customWidth="1"/>
    <col min="13" max="13" width="1.00390625" style="267" customWidth="1"/>
    <col min="14" max="14" width="14.375" style="267" customWidth="1"/>
    <col min="15" max="15" width="19.375" style="267" customWidth="1"/>
    <col min="16" max="16384" width="14.375" style="267" customWidth="1"/>
  </cols>
  <sheetData>
    <row r="1" ht="5.25" customHeight="1"/>
    <row r="2" spans="1:256" ht="30" customHeight="1">
      <c r="A2" s="268"/>
      <c r="B2" s="269"/>
      <c r="C2" s="485">
        <v>12</v>
      </c>
      <c r="D2" s="485"/>
      <c r="E2" s="270"/>
      <c r="F2" s="270"/>
      <c r="G2" s="270" t="s">
        <v>376</v>
      </c>
      <c r="H2" s="270"/>
      <c r="I2" s="270"/>
      <c r="J2" s="271" t="s">
        <v>156</v>
      </c>
      <c r="K2" s="271" t="s">
        <v>179</v>
      </c>
      <c r="L2" s="272" t="s">
        <v>185</v>
      </c>
      <c r="M2" s="273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  <c r="IV2" s="268"/>
    </row>
    <row r="3" spans="1:256" ht="27.75" customHeight="1">
      <c r="A3" s="268"/>
      <c r="B3" s="269"/>
      <c r="C3" s="270"/>
      <c r="D3" s="270"/>
      <c r="E3" s="270"/>
      <c r="F3" s="227" t="s">
        <v>226</v>
      </c>
      <c r="G3" s="270"/>
      <c r="H3" s="270" t="s">
        <v>178</v>
      </c>
      <c r="I3" s="270"/>
      <c r="J3" s="270"/>
      <c r="K3" s="270"/>
      <c r="L3" s="274"/>
      <c r="M3" s="273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T3" s="268"/>
      <c r="GU3" s="268"/>
      <c r="GV3" s="268"/>
      <c r="GW3" s="268"/>
      <c r="GX3" s="268"/>
      <c r="GY3" s="268"/>
      <c r="GZ3" s="268"/>
      <c r="HA3" s="268"/>
      <c r="HB3" s="268"/>
      <c r="HC3" s="268"/>
      <c r="HD3" s="268"/>
      <c r="HE3" s="268"/>
      <c r="HF3" s="268"/>
      <c r="HG3" s="268"/>
      <c r="HH3" s="268"/>
      <c r="HI3" s="268"/>
      <c r="HJ3" s="268"/>
      <c r="HK3" s="268"/>
      <c r="HL3" s="268"/>
      <c r="HM3" s="268"/>
      <c r="HN3" s="268"/>
      <c r="HO3" s="268"/>
      <c r="HP3" s="268"/>
      <c r="HQ3" s="268"/>
      <c r="HR3" s="268"/>
      <c r="HS3" s="268"/>
      <c r="HT3" s="268"/>
      <c r="HU3" s="268"/>
      <c r="HV3" s="268"/>
      <c r="HW3" s="268"/>
      <c r="HX3" s="268"/>
      <c r="HY3" s="268"/>
      <c r="HZ3" s="268"/>
      <c r="IA3" s="268"/>
      <c r="IB3" s="268"/>
      <c r="IC3" s="268"/>
      <c r="ID3" s="268"/>
      <c r="IE3" s="268"/>
      <c r="IF3" s="268"/>
      <c r="IG3" s="268"/>
      <c r="IH3" s="268"/>
      <c r="II3" s="268"/>
      <c r="IJ3" s="268"/>
      <c r="IK3" s="268"/>
      <c r="IL3" s="268"/>
      <c r="IM3" s="268"/>
      <c r="IN3" s="268"/>
      <c r="IO3" s="268"/>
      <c r="IP3" s="268"/>
      <c r="IQ3" s="268"/>
      <c r="IR3" s="268"/>
      <c r="IS3" s="268"/>
      <c r="IT3" s="268"/>
      <c r="IU3" s="268"/>
      <c r="IV3" s="268"/>
    </row>
    <row r="4" spans="1:256" ht="24.75" customHeight="1">
      <c r="A4" s="268"/>
      <c r="B4" s="269"/>
      <c r="C4" s="270" t="s">
        <v>158</v>
      </c>
      <c r="D4" s="270"/>
      <c r="E4" s="270"/>
      <c r="F4" s="275" t="s">
        <v>159</v>
      </c>
      <c r="G4" s="275" t="s">
        <v>160</v>
      </c>
      <c r="H4" s="275" t="s">
        <v>80</v>
      </c>
      <c r="I4" s="275" t="s">
        <v>161</v>
      </c>
      <c r="J4" s="275" t="s">
        <v>162</v>
      </c>
      <c r="K4" s="275" t="s">
        <v>163</v>
      </c>
      <c r="L4" s="276" t="s">
        <v>164</v>
      </c>
      <c r="M4" s="273"/>
      <c r="N4" s="273"/>
      <c r="O4" s="273"/>
      <c r="P4" s="273"/>
      <c r="Q4" s="273"/>
      <c r="R4" s="273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  <c r="GT4" s="268"/>
      <c r="GU4" s="268"/>
      <c r="GV4" s="268"/>
      <c r="GW4" s="268"/>
      <c r="GX4" s="268"/>
      <c r="GY4" s="268"/>
      <c r="GZ4" s="268"/>
      <c r="HA4" s="268"/>
      <c r="HB4" s="268"/>
      <c r="HC4" s="268"/>
      <c r="HD4" s="268"/>
      <c r="HE4" s="268"/>
      <c r="HF4" s="268"/>
      <c r="HG4" s="268"/>
      <c r="HH4" s="268"/>
      <c r="HI4" s="268"/>
      <c r="HJ4" s="268"/>
      <c r="HK4" s="268"/>
      <c r="HL4" s="268"/>
      <c r="HM4" s="268"/>
      <c r="HN4" s="268"/>
      <c r="HO4" s="268"/>
      <c r="HP4" s="268"/>
      <c r="HQ4" s="268"/>
      <c r="HR4" s="268"/>
      <c r="HS4" s="268"/>
      <c r="HT4" s="268"/>
      <c r="HU4" s="268"/>
      <c r="HV4" s="268"/>
      <c r="HW4" s="268"/>
      <c r="HX4" s="268"/>
      <c r="HY4" s="268"/>
      <c r="HZ4" s="268"/>
      <c r="IA4" s="268"/>
      <c r="IB4" s="268"/>
      <c r="IC4" s="268"/>
      <c r="ID4" s="268"/>
      <c r="IE4" s="268"/>
      <c r="IF4" s="268"/>
      <c r="IG4" s="268"/>
      <c r="IH4" s="268"/>
      <c r="II4" s="268"/>
      <c r="IJ4" s="268"/>
      <c r="IK4" s="268"/>
      <c r="IL4" s="268"/>
      <c r="IM4" s="268"/>
      <c r="IN4" s="268"/>
      <c r="IO4" s="268"/>
      <c r="IP4" s="268"/>
      <c r="IQ4" s="268"/>
      <c r="IR4" s="268"/>
      <c r="IS4" s="268"/>
      <c r="IT4" s="268"/>
      <c r="IU4" s="268"/>
      <c r="IV4" s="268"/>
    </row>
    <row r="5" spans="2:18" ht="18" customHeight="1">
      <c r="B5" s="277"/>
      <c r="C5" s="278"/>
      <c r="D5" s="278"/>
      <c r="E5" s="278"/>
      <c r="F5" s="277"/>
      <c r="G5" s="277"/>
      <c r="H5" s="279"/>
      <c r="I5" s="280"/>
      <c r="J5" s="281"/>
      <c r="K5" s="282"/>
      <c r="L5" s="283"/>
      <c r="M5" s="284"/>
      <c r="N5" s="285"/>
      <c r="O5" s="284"/>
      <c r="P5" s="286"/>
      <c r="Q5" s="284"/>
      <c r="R5" s="284"/>
    </row>
    <row r="6" spans="2:18" ht="18" customHeight="1">
      <c r="B6" s="287"/>
      <c r="C6" s="288" t="s">
        <v>166</v>
      </c>
      <c r="D6" s="288"/>
      <c r="E6" s="288"/>
      <c r="F6" s="287"/>
      <c r="G6" s="287"/>
      <c r="H6" s="289" t="s">
        <v>165</v>
      </c>
      <c r="I6" s="290"/>
      <c r="J6" s="244"/>
      <c r="K6" s="291"/>
      <c r="L6" s="292" t="s">
        <v>250</v>
      </c>
      <c r="M6" s="284"/>
      <c r="N6" s="285"/>
      <c r="O6" s="284"/>
      <c r="P6" s="286"/>
      <c r="Q6" s="284"/>
      <c r="R6" s="284"/>
    </row>
    <row r="7" spans="2:18" ht="18" customHeight="1">
      <c r="B7" s="277"/>
      <c r="C7" s="278"/>
      <c r="D7" s="278"/>
      <c r="E7" s="278"/>
      <c r="F7" s="277"/>
      <c r="G7" s="277"/>
      <c r="H7" s="279"/>
      <c r="I7" s="280"/>
      <c r="J7" s="340"/>
      <c r="K7" s="282"/>
      <c r="L7" s="283"/>
      <c r="M7" s="284"/>
      <c r="N7" s="285"/>
      <c r="O7" s="284"/>
      <c r="P7" s="286"/>
      <c r="Q7" s="284"/>
      <c r="R7" s="284"/>
    </row>
    <row r="8" spans="2:18" ht="18" customHeight="1">
      <c r="B8" s="287"/>
      <c r="C8" s="288" t="s">
        <v>167</v>
      </c>
      <c r="D8" s="288"/>
      <c r="E8" s="288"/>
      <c r="F8" s="287"/>
      <c r="G8" s="287"/>
      <c r="H8" s="289" t="s">
        <v>168</v>
      </c>
      <c r="I8" s="290">
        <v>1</v>
      </c>
      <c r="J8" s="341"/>
      <c r="K8" s="291"/>
      <c r="L8" s="292" t="s">
        <v>170</v>
      </c>
      <c r="M8" s="284"/>
      <c r="N8" s="285"/>
      <c r="O8" s="284"/>
      <c r="P8" s="286"/>
      <c r="Q8" s="284"/>
      <c r="R8" s="284"/>
    </row>
    <row r="9" spans="2:18" ht="18" customHeight="1">
      <c r="B9" s="277"/>
      <c r="C9" s="278"/>
      <c r="D9" s="278"/>
      <c r="E9" s="278"/>
      <c r="F9" s="277"/>
      <c r="G9" s="277"/>
      <c r="H9" s="279"/>
      <c r="I9" s="280"/>
      <c r="J9" s="340"/>
      <c r="K9" s="282"/>
      <c r="L9" s="283"/>
      <c r="M9" s="284"/>
      <c r="N9" s="285"/>
      <c r="O9" s="284"/>
      <c r="P9" s="286"/>
      <c r="Q9" s="284"/>
      <c r="R9" s="284"/>
    </row>
    <row r="10" spans="2:18" ht="18" customHeight="1">
      <c r="B10" s="287"/>
      <c r="C10" s="288" t="s">
        <v>171</v>
      </c>
      <c r="D10" s="288"/>
      <c r="E10" s="288"/>
      <c r="F10" s="287" t="s">
        <v>172</v>
      </c>
      <c r="G10" s="287"/>
      <c r="H10" s="289" t="s">
        <v>168</v>
      </c>
      <c r="I10" s="290">
        <v>1</v>
      </c>
      <c r="J10" s="341"/>
      <c r="K10" s="291"/>
      <c r="L10" s="292" t="s">
        <v>173</v>
      </c>
      <c r="M10" s="284"/>
      <c r="N10" s="285"/>
      <c r="O10" s="284"/>
      <c r="P10" s="286"/>
      <c r="Q10" s="284"/>
      <c r="R10" s="284"/>
    </row>
    <row r="11" spans="2:18" ht="18" customHeight="1">
      <c r="B11" s="277"/>
      <c r="C11" s="278"/>
      <c r="D11" s="278"/>
      <c r="E11" s="278"/>
      <c r="F11" s="277"/>
      <c r="G11" s="277"/>
      <c r="H11" s="279"/>
      <c r="I11" s="280"/>
      <c r="J11" s="340"/>
      <c r="K11" s="282"/>
      <c r="L11" s="283"/>
      <c r="M11" s="284"/>
      <c r="N11" s="285"/>
      <c r="O11" s="284"/>
      <c r="P11" s="286"/>
      <c r="Q11" s="284"/>
      <c r="R11" s="284"/>
    </row>
    <row r="12" spans="2:18" ht="18" customHeight="1">
      <c r="B12" s="287"/>
      <c r="C12" s="288" t="s">
        <v>174</v>
      </c>
      <c r="D12" s="288"/>
      <c r="E12" s="288"/>
      <c r="F12" s="287"/>
      <c r="G12" s="287"/>
      <c r="H12" s="289" t="s">
        <v>168</v>
      </c>
      <c r="I12" s="290">
        <v>1</v>
      </c>
      <c r="J12" s="341"/>
      <c r="K12" s="291"/>
      <c r="L12" s="292"/>
      <c r="M12" s="284"/>
      <c r="N12" s="285"/>
      <c r="O12" s="284"/>
      <c r="P12" s="286"/>
      <c r="Q12" s="284"/>
      <c r="R12" s="284"/>
    </row>
    <row r="13" spans="2:18" ht="18" customHeight="1">
      <c r="B13" s="277"/>
      <c r="C13" s="278"/>
      <c r="D13" s="278"/>
      <c r="E13" s="278"/>
      <c r="F13" s="277"/>
      <c r="G13" s="277"/>
      <c r="H13" s="279"/>
      <c r="I13" s="280"/>
      <c r="J13" s="282"/>
      <c r="K13" s="282"/>
      <c r="L13" s="283"/>
      <c r="M13" s="284"/>
      <c r="N13" s="285"/>
      <c r="O13" s="284"/>
      <c r="P13" s="284"/>
      <c r="Q13" s="284"/>
      <c r="R13" s="285"/>
    </row>
    <row r="14" spans="2:13" ht="18" customHeight="1">
      <c r="B14" s="287"/>
      <c r="C14" s="288"/>
      <c r="D14" s="288"/>
      <c r="E14" s="288"/>
      <c r="F14" s="287"/>
      <c r="G14" s="287"/>
      <c r="H14" s="289"/>
      <c r="I14" s="290"/>
      <c r="J14" s="293"/>
      <c r="K14" s="291"/>
      <c r="L14" s="292"/>
      <c r="M14" s="284"/>
    </row>
    <row r="15" spans="2:13" ht="18" customHeight="1">
      <c r="B15" s="277"/>
      <c r="C15" s="294"/>
      <c r="D15" s="294"/>
      <c r="E15" s="278"/>
      <c r="F15" s="277"/>
      <c r="G15" s="277"/>
      <c r="H15" s="279"/>
      <c r="I15" s="280"/>
      <c r="J15" s="282"/>
      <c r="K15" s="282"/>
      <c r="L15" s="283"/>
      <c r="M15" s="284"/>
    </row>
    <row r="16" spans="2:13" ht="18" customHeight="1">
      <c r="B16" s="287"/>
      <c r="C16" s="288"/>
      <c r="D16" s="288"/>
      <c r="E16" s="288"/>
      <c r="F16" s="287"/>
      <c r="G16" s="287"/>
      <c r="H16" s="289"/>
      <c r="I16" s="290"/>
      <c r="J16" s="293"/>
      <c r="K16" s="291"/>
      <c r="L16" s="292"/>
      <c r="M16" s="284"/>
    </row>
    <row r="17" spans="2:13" ht="18" customHeight="1">
      <c r="B17" s="277"/>
      <c r="C17" s="278"/>
      <c r="D17" s="278"/>
      <c r="E17" s="278"/>
      <c r="F17" s="277"/>
      <c r="G17" s="277"/>
      <c r="H17" s="279"/>
      <c r="I17" s="280"/>
      <c r="J17" s="282"/>
      <c r="K17" s="282"/>
      <c r="L17" s="283"/>
      <c r="M17" s="284"/>
    </row>
    <row r="18" spans="2:13" ht="18" customHeight="1">
      <c r="B18" s="287"/>
      <c r="C18" s="288"/>
      <c r="D18" s="288"/>
      <c r="E18" s="288"/>
      <c r="F18" s="287"/>
      <c r="G18" s="287"/>
      <c r="H18" s="289"/>
      <c r="I18" s="290"/>
      <c r="J18" s="291"/>
      <c r="K18" s="291"/>
      <c r="L18" s="292"/>
      <c r="M18" s="284"/>
    </row>
    <row r="19" spans="2:13" ht="18" customHeight="1">
      <c r="B19" s="277"/>
      <c r="C19" s="278"/>
      <c r="D19" s="278"/>
      <c r="E19" s="278"/>
      <c r="F19" s="277"/>
      <c r="G19" s="277"/>
      <c r="H19" s="279"/>
      <c r="I19" s="280"/>
      <c r="J19" s="282"/>
      <c r="K19" s="282"/>
      <c r="L19" s="283"/>
      <c r="M19" s="284"/>
    </row>
    <row r="20" spans="2:13" ht="18" customHeight="1">
      <c r="B20" s="287"/>
      <c r="C20" s="288"/>
      <c r="D20" s="288"/>
      <c r="E20" s="288"/>
      <c r="F20" s="287"/>
      <c r="G20" s="287"/>
      <c r="H20" s="289"/>
      <c r="I20" s="290"/>
      <c r="J20" s="291"/>
      <c r="K20" s="291"/>
      <c r="L20" s="292"/>
      <c r="M20" s="284"/>
    </row>
    <row r="21" spans="2:13" ht="18" customHeight="1">
      <c r="B21" s="277"/>
      <c r="C21" s="278"/>
      <c r="D21" s="278"/>
      <c r="E21" s="278"/>
      <c r="F21" s="277"/>
      <c r="G21" s="277"/>
      <c r="H21" s="279"/>
      <c r="I21" s="280"/>
      <c r="J21" s="282"/>
      <c r="K21" s="282"/>
      <c r="L21" s="283"/>
      <c r="M21" s="284"/>
    </row>
    <row r="22" spans="2:13" ht="18" customHeight="1">
      <c r="B22" s="287"/>
      <c r="C22" s="288"/>
      <c r="D22" s="288"/>
      <c r="E22" s="288"/>
      <c r="F22" s="287"/>
      <c r="G22" s="287"/>
      <c r="H22" s="289"/>
      <c r="I22" s="290"/>
      <c r="J22" s="291"/>
      <c r="K22" s="291"/>
      <c r="L22" s="292"/>
      <c r="M22" s="284"/>
    </row>
    <row r="23" spans="2:13" ht="18" customHeight="1">
      <c r="B23" s="277"/>
      <c r="C23" s="278"/>
      <c r="D23" s="278"/>
      <c r="E23" s="278"/>
      <c r="F23" s="277"/>
      <c r="G23" s="277"/>
      <c r="H23" s="279"/>
      <c r="I23" s="280"/>
      <c r="J23" s="282"/>
      <c r="K23" s="282"/>
      <c r="L23" s="283"/>
      <c r="M23" s="284"/>
    </row>
    <row r="24" spans="2:13" ht="18" customHeight="1">
      <c r="B24" s="287"/>
      <c r="C24" s="288"/>
      <c r="D24" s="288"/>
      <c r="E24" s="288"/>
      <c r="F24" s="287"/>
      <c r="G24" s="287"/>
      <c r="H24" s="289"/>
      <c r="I24" s="290"/>
      <c r="J24" s="291"/>
      <c r="K24" s="295"/>
      <c r="L24" s="296"/>
      <c r="M24" s="284"/>
    </row>
    <row r="25" spans="2:13" ht="18" customHeight="1">
      <c r="B25" s="277"/>
      <c r="C25" s="278"/>
      <c r="D25" s="278"/>
      <c r="E25" s="278"/>
      <c r="F25" s="277"/>
      <c r="G25" s="277"/>
      <c r="H25" s="279"/>
      <c r="I25" s="280"/>
      <c r="J25" s="282"/>
      <c r="K25" s="297"/>
      <c r="L25" s="283"/>
      <c r="M25" s="284"/>
    </row>
    <row r="26" spans="2:13" ht="18" customHeight="1">
      <c r="B26" s="287"/>
      <c r="C26" s="288"/>
      <c r="D26" s="288"/>
      <c r="E26" s="288"/>
      <c r="F26" s="287"/>
      <c r="G26" s="287"/>
      <c r="H26" s="289"/>
      <c r="I26" s="290"/>
      <c r="J26" s="291"/>
      <c r="K26" s="295"/>
      <c r="L26" s="292"/>
      <c r="M26" s="284"/>
    </row>
    <row r="27" spans="2:13" ht="18" customHeight="1">
      <c r="B27" s="277"/>
      <c r="C27" s="278"/>
      <c r="D27" s="278"/>
      <c r="E27" s="278"/>
      <c r="F27" s="277"/>
      <c r="G27" s="277"/>
      <c r="H27" s="279"/>
      <c r="I27" s="280"/>
      <c r="J27" s="282"/>
      <c r="K27" s="282"/>
      <c r="L27" s="283"/>
      <c r="M27" s="284"/>
    </row>
    <row r="28" spans="2:13" ht="18" customHeight="1">
      <c r="B28" s="287"/>
      <c r="C28" s="288"/>
      <c r="D28" s="288" t="s">
        <v>175</v>
      </c>
      <c r="E28" s="288"/>
      <c r="F28" s="287"/>
      <c r="G28" s="287"/>
      <c r="H28" s="289"/>
      <c r="I28" s="290"/>
      <c r="J28" s="291"/>
      <c r="K28" s="291"/>
      <c r="L28" s="292"/>
      <c r="M28" s="284"/>
    </row>
    <row r="29" spans="2:13" ht="18" customHeight="1">
      <c r="B29" s="277"/>
      <c r="C29" s="278"/>
      <c r="D29" s="278"/>
      <c r="E29" s="278"/>
      <c r="F29" s="277"/>
      <c r="G29" s="277"/>
      <c r="H29" s="279"/>
      <c r="I29" s="280"/>
      <c r="J29" s="282"/>
      <c r="K29" s="282"/>
      <c r="L29" s="283"/>
      <c r="M29" s="284"/>
    </row>
    <row r="30" spans="2:13" ht="18" customHeight="1">
      <c r="B30" s="287"/>
      <c r="C30" s="288" t="s">
        <v>176</v>
      </c>
      <c r="D30" s="288"/>
      <c r="E30" s="288"/>
      <c r="F30" s="287"/>
      <c r="G30" s="287"/>
      <c r="H30" s="289"/>
      <c r="I30" s="290"/>
      <c r="J30" s="291"/>
      <c r="K30" s="291"/>
      <c r="L30" s="292"/>
      <c r="M30" s="284"/>
    </row>
    <row r="31" spans="2:13" ht="18" customHeight="1">
      <c r="B31" s="298"/>
      <c r="C31" s="299"/>
      <c r="D31" s="299"/>
      <c r="E31" s="299"/>
      <c r="F31" s="300"/>
      <c r="G31" s="300"/>
      <c r="H31" s="300"/>
      <c r="I31" s="300"/>
      <c r="J31" s="300"/>
      <c r="K31" s="300"/>
      <c r="L31" s="301"/>
      <c r="M31" s="284"/>
    </row>
    <row r="32" spans="2:13" ht="18" customHeight="1">
      <c r="B32" s="302"/>
      <c r="C32" s="303"/>
      <c r="D32" s="303"/>
      <c r="E32" s="303"/>
      <c r="F32" s="304"/>
      <c r="G32" s="304"/>
      <c r="H32" s="304"/>
      <c r="I32" s="304"/>
      <c r="J32" s="304"/>
      <c r="K32" s="304"/>
      <c r="L32" s="305"/>
      <c r="M32" s="284"/>
    </row>
    <row r="33" spans="2:12" ht="12.75" customHeight="1">
      <c r="B33" s="284"/>
      <c r="C33" s="284"/>
      <c r="D33" s="284"/>
      <c r="E33" s="284"/>
      <c r="F33" s="284"/>
      <c r="G33" s="284"/>
      <c r="H33" s="284"/>
      <c r="I33" s="306"/>
      <c r="J33" s="284"/>
      <c r="K33" s="284"/>
      <c r="L33" s="284"/>
    </row>
    <row r="34" spans="8:9" ht="26.25" customHeight="1">
      <c r="H34" s="417"/>
      <c r="I34" s="307"/>
    </row>
  </sheetData>
  <sheetProtection/>
  <mergeCells count="1">
    <mergeCell ref="C2:D2"/>
  </mergeCells>
  <conditionalFormatting sqref="I5:L6 K7:L32">
    <cfRule type="expression" priority="2" dxfId="60" stopIfTrue="1">
      <formula>#REF!=1</formula>
    </cfRule>
  </conditionalFormatting>
  <conditionalFormatting sqref="J5:L32 I6">
    <cfRule type="expression" priority="1" dxfId="59" stopIfTrue="1">
      <formula>$H$34=1</formula>
    </cfRule>
  </conditionalFormatting>
  <printOptions horizontalCentered="1"/>
  <pageMargins left="0.1968503937007874" right="0.1968503937007874" top="0.984251968503937" bottom="0.1968503937007874" header="0.5118110236220472" footer="0.31496062992125984"/>
  <pageSetup horizontalDpi="600" verticalDpi="600" orientation="landscape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F27" sqref="F2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13</v>
      </c>
      <c r="C2" s="171"/>
      <c r="D2" s="172" t="s">
        <v>337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182" t="s">
        <v>45</v>
      </c>
      <c r="C5" s="182" t="s">
        <v>312</v>
      </c>
      <c r="D5" s="182"/>
      <c r="E5" s="181" t="s">
        <v>2</v>
      </c>
      <c r="F5" s="183">
        <v>1</v>
      </c>
      <c r="G5" s="184">
        <f>INT('基本単価表入力表'!C4*30/8)</f>
        <v>0</v>
      </c>
      <c r="H5" s="184">
        <f>TRUNC(F5*G5)</f>
        <v>0</v>
      </c>
      <c r="I5" s="185"/>
    </row>
    <row r="6" spans="2:9" ht="27.75" customHeight="1">
      <c r="B6" s="181"/>
      <c r="C6" s="182"/>
      <c r="D6" s="182"/>
      <c r="E6" s="181"/>
      <c r="F6" s="183"/>
      <c r="G6" s="184"/>
      <c r="H6" s="184"/>
      <c r="I6" s="185"/>
    </row>
    <row r="7" spans="2:9" ht="27.75" customHeight="1">
      <c r="B7" s="181"/>
      <c r="C7" s="182"/>
      <c r="D7" s="182"/>
      <c r="E7" s="181"/>
      <c r="F7" s="183"/>
      <c r="G7" s="184"/>
      <c r="H7" s="184"/>
      <c r="I7" s="185"/>
    </row>
    <row r="8" spans="2:9" ht="27.75" customHeight="1">
      <c r="B8" s="181"/>
      <c r="C8" s="182"/>
      <c r="D8" s="182"/>
      <c r="E8" s="181"/>
      <c r="F8" s="183"/>
      <c r="G8" s="186"/>
      <c r="H8" s="184"/>
      <c r="I8" s="185"/>
    </row>
    <row r="9" spans="2:9" ht="27.75" customHeight="1">
      <c r="B9" s="181"/>
      <c r="C9" s="182"/>
      <c r="D9" s="182"/>
      <c r="E9" s="181"/>
      <c r="F9" s="183"/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s="191" customFormat="1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2"/>
      <c r="C16" s="182"/>
      <c r="D16" s="181"/>
      <c r="E16" s="181"/>
      <c r="F16" s="183"/>
      <c r="G16" s="184"/>
      <c r="H16" s="184"/>
      <c r="I16" s="185"/>
    </row>
    <row r="17" spans="2:9" s="191" customFormat="1" ht="27.75" customHeight="1">
      <c r="B17" s="182"/>
      <c r="C17" s="182"/>
      <c r="D17" s="181"/>
      <c r="E17" s="181"/>
      <c r="F17" s="183"/>
      <c r="G17" s="184"/>
      <c r="H17" s="184"/>
      <c r="I17" s="185"/>
    </row>
    <row r="18" spans="2:9" s="191" customFormat="1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ht="27.75" customHeight="1">
      <c r="B19" s="181" t="s">
        <v>101</v>
      </c>
      <c r="C19" s="182"/>
      <c r="D19" s="181"/>
      <c r="E19" s="181"/>
      <c r="F19" s="183"/>
      <c r="G19" s="184"/>
      <c r="H19" s="184">
        <f>SUM(H5:H18)</f>
        <v>0</v>
      </c>
      <c r="I19" s="185"/>
    </row>
    <row r="20" spans="2:9" ht="27.75" customHeight="1">
      <c r="B20" s="181"/>
      <c r="C20" s="182"/>
      <c r="D20" s="181"/>
      <c r="E20" s="188"/>
      <c r="F20" s="189"/>
      <c r="G20" s="186"/>
      <c r="H20" s="184"/>
      <c r="I20" s="185" t="s">
        <v>313</v>
      </c>
    </row>
    <row r="21" ht="4.5" customHeight="1"/>
    <row r="22" ht="27.75" customHeight="1">
      <c r="E22" s="414"/>
    </row>
  </sheetData>
  <sheetProtection/>
  <conditionalFormatting sqref="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F27" sqref="F2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14</v>
      </c>
      <c r="C2" s="171"/>
      <c r="D2" s="172" t="s">
        <v>19</v>
      </c>
      <c r="E2" s="173"/>
      <c r="F2" s="174"/>
      <c r="G2" s="174"/>
      <c r="H2" s="174"/>
      <c r="I2" s="215" t="s">
        <v>225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216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4" t="s">
        <v>85</v>
      </c>
      <c r="C5" s="182"/>
      <c r="D5" s="182"/>
      <c r="E5" s="181" t="s">
        <v>240</v>
      </c>
      <c r="F5" s="183"/>
      <c r="G5" s="184"/>
      <c r="H5" s="184"/>
      <c r="I5" s="185"/>
    </row>
    <row r="6" spans="2:9" ht="27.75" customHeight="1">
      <c r="B6" s="383" t="s">
        <v>86</v>
      </c>
      <c r="C6" s="182"/>
      <c r="D6" s="182"/>
      <c r="E6" s="181" t="s">
        <v>2</v>
      </c>
      <c r="F6" s="183"/>
      <c r="G6" s="184"/>
      <c r="H6" s="184"/>
      <c r="I6" s="185"/>
    </row>
    <row r="7" spans="2:9" ht="27.75" customHeight="1">
      <c r="B7" s="383" t="s">
        <v>192</v>
      </c>
      <c r="C7" s="182" t="s">
        <v>87</v>
      </c>
      <c r="D7" s="182"/>
      <c r="E7" s="181" t="s">
        <v>40</v>
      </c>
      <c r="F7" s="183">
        <v>1</v>
      </c>
      <c r="G7" s="184"/>
      <c r="H7" s="184"/>
      <c r="I7" s="185"/>
    </row>
    <row r="8" spans="2:9" ht="27.75" customHeight="1">
      <c r="B8" s="383" t="s">
        <v>193</v>
      </c>
      <c r="C8" s="182" t="s">
        <v>241</v>
      </c>
      <c r="D8" s="182"/>
      <c r="E8" s="181" t="s">
        <v>40</v>
      </c>
      <c r="F8" s="183">
        <v>1</v>
      </c>
      <c r="G8" s="186"/>
      <c r="H8" s="184"/>
      <c r="I8" s="185"/>
    </row>
    <row r="9" spans="2:9" ht="27.75" customHeight="1">
      <c r="B9" s="383" t="s">
        <v>194</v>
      </c>
      <c r="C9" s="182"/>
      <c r="D9" s="182"/>
      <c r="E9" s="181" t="s">
        <v>100</v>
      </c>
      <c r="F9" s="183">
        <v>1</v>
      </c>
      <c r="G9" s="186"/>
      <c r="H9" s="184"/>
      <c r="I9" s="185"/>
    </row>
    <row r="10" spans="2:9" ht="27.75" customHeight="1">
      <c r="B10" s="182"/>
      <c r="C10" s="182"/>
      <c r="D10" s="182"/>
      <c r="E10" s="181"/>
      <c r="F10" s="183"/>
      <c r="G10" s="186"/>
      <c r="H10" s="184"/>
      <c r="I10" s="185"/>
    </row>
    <row r="11" spans="2:9" ht="27.75" customHeight="1">
      <c r="B11" s="181"/>
      <c r="C11" s="197"/>
      <c r="D11" s="181"/>
      <c r="E11" s="181"/>
      <c r="F11" s="183"/>
      <c r="G11" s="186"/>
      <c r="H11" s="184"/>
      <c r="I11" s="185"/>
    </row>
    <row r="12" spans="2:9" ht="27.75" customHeight="1">
      <c r="B12" s="182"/>
      <c r="C12" s="182"/>
      <c r="D12" s="181"/>
      <c r="E12" s="181"/>
      <c r="F12" s="183"/>
      <c r="G12" s="186"/>
      <c r="H12" s="184"/>
      <c r="I12" s="185"/>
    </row>
    <row r="13" spans="2:9" ht="27.75" customHeight="1">
      <c r="B13" s="182"/>
      <c r="C13" s="182"/>
      <c r="D13" s="197"/>
      <c r="E13" s="181"/>
      <c r="F13" s="183"/>
      <c r="G13" s="186"/>
      <c r="H13" s="184"/>
      <c r="I13" s="185"/>
    </row>
    <row r="14" spans="2:9" s="191" customFormat="1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s="191" customFormat="1" ht="27.75" customHeight="1">
      <c r="B17" s="181"/>
      <c r="C17" s="182"/>
      <c r="D17" s="181"/>
      <c r="E17" s="181"/>
      <c r="F17" s="183"/>
      <c r="G17" s="184"/>
      <c r="H17" s="184"/>
      <c r="I17" s="185"/>
    </row>
    <row r="18" spans="2:9" ht="27.75" customHeight="1">
      <c r="B18" s="182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2" t="s">
        <v>101</v>
      </c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/>
      <c r="C20" s="182"/>
      <c r="D20" s="181"/>
      <c r="E20" s="181"/>
      <c r="F20" s="183"/>
      <c r="G20" s="184"/>
      <c r="H20" s="184"/>
      <c r="I20" s="185" t="s">
        <v>88</v>
      </c>
    </row>
    <row r="21" ht="4.5" customHeight="1"/>
    <row r="22" ht="27.75" customHeight="1">
      <c r="E22" s="414"/>
    </row>
  </sheetData>
  <sheetProtection/>
  <conditionalFormatting sqref="H2 F5:F6 G5:H2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H17" sqref="H16:H1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1</v>
      </c>
      <c r="C2" s="171"/>
      <c r="D2" s="172" t="s">
        <v>419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3" t="s">
        <v>93</v>
      </c>
      <c r="C5" s="182" t="s">
        <v>108</v>
      </c>
      <c r="D5" s="182" t="s">
        <v>251</v>
      </c>
      <c r="E5" s="181" t="s">
        <v>228</v>
      </c>
      <c r="F5" s="183">
        <f>'基本単価表入力表'!F4</f>
        <v>62</v>
      </c>
      <c r="G5" s="184"/>
      <c r="H5" s="184"/>
      <c r="I5" s="342">
        <v>1</v>
      </c>
    </row>
    <row r="6" spans="2:9" ht="27.75" customHeight="1">
      <c r="B6" s="383" t="s">
        <v>205</v>
      </c>
      <c r="C6" s="182" t="s">
        <v>108</v>
      </c>
      <c r="D6" s="182" t="s">
        <v>251</v>
      </c>
      <c r="E6" s="181" t="s">
        <v>228</v>
      </c>
      <c r="F6" s="183">
        <f>'基本単価表入力表'!F4</f>
        <v>62</v>
      </c>
      <c r="G6" s="184"/>
      <c r="H6" s="184"/>
      <c r="I6" s="342">
        <v>5</v>
      </c>
    </row>
    <row r="7" spans="2:9" ht="27.75" customHeight="1">
      <c r="B7" s="383" t="s">
        <v>0</v>
      </c>
      <c r="C7" s="182"/>
      <c r="D7" s="181" t="s">
        <v>424</v>
      </c>
      <c r="E7" s="181" t="s">
        <v>229</v>
      </c>
      <c r="F7" s="183">
        <f>2*SUM('基本単価表入力表'!F5:F6)</f>
        <v>36</v>
      </c>
      <c r="G7" s="184"/>
      <c r="H7" s="184"/>
      <c r="I7" s="342"/>
    </row>
    <row r="8" spans="2:9" ht="27.75" customHeight="1">
      <c r="B8" s="383" t="s">
        <v>1</v>
      </c>
      <c r="C8" s="182" t="s">
        <v>230</v>
      </c>
      <c r="D8" s="182" t="s">
        <v>253</v>
      </c>
      <c r="E8" s="181" t="s">
        <v>229</v>
      </c>
      <c r="F8" s="183">
        <f>2*'基本単価表入力表'!G4</f>
        <v>8</v>
      </c>
      <c r="G8" s="186"/>
      <c r="H8" s="184"/>
      <c r="I8" s="185"/>
    </row>
    <row r="9" spans="2:9" ht="27.75" customHeight="1">
      <c r="B9" s="383" t="s">
        <v>110</v>
      </c>
      <c r="C9" s="182" t="s">
        <v>94</v>
      </c>
      <c r="D9" s="187"/>
      <c r="E9" s="181" t="s">
        <v>100</v>
      </c>
      <c r="F9" s="183">
        <v>1</v>
      </c>
      <c r="G9" s="186"/>
      <c r="H9" s="184"/>
      <c r="I9" s="392">
        <v>0.1</v>
      </c>
    </row>
    <row r="10" spans="2:9" ht="27.75" customHeight="1">
      <c r="B10" s="181"/>
      <c r="C10" s="182"/>
      <c r="D10" s="181"/>
      <c r="E10" s="181"/>
      <c r="F10" s="183"/>
      <c r="G10" s="184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ht="27.75" customHeight="1">
      <c r="B18" s="181"/>
      <c r="C18" s="182"/>
      <c r="D18" s="190"/>
      <c r="E18" s="181"/>
      <c r="F18" s="183"/>
      <c r="G18" s="186"/>
      <c r="H18" s="184"/>
      <c r="I18" s="185"/>
    </row>
    <row r="19" spans="2:9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spans="2:9" s="70" customFormat="1" ht="4.5" customHeight="1">
      <c r="B21" s="166"/>
      <c r="C21" s="192"/>
      <c r="D21" s="166"/>
      <c r="E21" s="166"/>
      <c r="F21" s="193"/>
      <c r="G21" s="194"/>
      <c r="H21" s="194"/>
      <c r="I21" s="67"/>
    </row>
    <row r="22" ht="27.75" customHeight="1">
      <c r="E22" s="371">
        <f>'基本単価表入力表'!C1</f>
        <v>1</v>
      </c>
    </row>
  </sheetData>
  <sheetProtection/>
  <conditionalFormatting sqref="G5:H20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7">
      <selection activeCell="H17" sqref="H16:H1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2</v>
      </c>
      <c r="C2" s="171"/>
      <c r="D2" s="172" t="s">
        <v>420</v>
      </c>
      <c r="E2" s="173"/>
      <c r="F2" s="174"/>
      <c r="G2" s="174"/>
      <c r="H2" s="389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3" t="s">
        <v>93</v>
      </c>
      <c r="C5" s="182" t="s">
        <v>108</v>
      </c>
      <c r="D5" s="182" t="s">
        <v>251</v>
      </c>
      <c r="E5" s="181" t="s">
        <v>228</v>
      </c>
      <c r="F5" s="183">
        <f>'基本単価表入力表'!J4</f>
        <v>62</v>
      </c>
      <c r="G5" s="184"/>
      <c r="H5" s="184"/>
      <c r="I5" s="342">
        <v>1</v>
      </c>
    </row>
    <row r="6" spans="2:9" ht="27.75" customHeight="1">
      <c r="B6" s="383" t="s">
        <v>205</v>
      </c>
      <c r="C6" s="182" t="s">
        <v>108</v>
      </c>
      <c r="D6" s="182" t="s">
        <v>251</v>
      </c>
      <c r="E6" s="181" t="s">
        <v>228</v>
      </c>
      <c r="F6" s="183">
        <f>'基本単価表入力表'!J4</f>
        <v>62</v>
      </c>
      <c r="G6" s="184"/>
      <c r="H6" s="184"/>
      <c r="I6" s="342">
        <v>5</v>
      </c>
    </row>
    <row r="7" spans="2:9" ht="27.75" customHeight="1">
      <c r="B7" s="383" t="s">
        <v>0</v>
      </c>
      <c r="C7" s="182"/>
      <c r="D7" s="181" t="s">
        <v>425</v>
      </c>
      <c r="E7" s="181" t="s">
        <v>229</v>
      </c>
      <c r="F7" s="183">
        <f>2*SUM('基本単価表入力表'!J5:J6)</f>
        <v>34</v>
      </c>
      <c r="G7" s="184"/>
      <c r="H7" s="184"/>
      <c r="I7" s="342"/>
    </row>
    <row r="8" spans="2:9" ht="27.75" customHeight="1">
      <c r="B8" s="383" t="s">
        <v>1</v>
      </c>
      <c r="C8" s="182" t="s">
        <v>230</v>
      </c>
      <c r="D8" s="182" t="s">
        <v>253</v>
      </c>
      <c r="E8" s="181" t="s">
        <v>229</v>
      </c>
      <c r="F8" s="183">
        <f>2*'基本単価表入力表'!K4</f>
        <v>8</v>
      </c>
      <c r="G8" s="186"/>
      <c r="H8" s="184"/>
      <c r="I8" s="185"/>
    </row>
    <row r="9" spans="2:9" ht="27.75" customHeight="1">
      <c r="B9" s="383" t="s">
        <v>110</v>
      </c>
      <c r="C9" s="182" t="s">
        <v>94</v>
      </c>
      <c r="D9" s="187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181"/>
      <c r="C10" s="182"/>
      <c r="D10" s="181"/>
      <c r="E10" s="181"/>
      <c r="F10" s="183"/>
      <c r="G10" s="184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ht="27.75" customHeight="1">
      <c r="B18" s="181"/>
      <c r="C18" s="182"/>
      <c r="D18" s="190"/>
      <c r="E18" s="181"/>
      <c r="F18" s="183"/>
      <c r="G18" s="186"/>
      <c r="H18" s="184"/>
      <c r="I18" s="185"/>
    </row>
    <row r="19" spans="2:9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spans="2:9" s="70" customFormat="1" ht="4.5" customHeight="1">
      <c r="B21" s="166"/>
      <c r="C21" s="192"/>
      <c r="D21" s="166"/>
      <c r="E21" s="166"/>
      <c r="F21" s="193"/>
      <c r="G21" s="194"/>
      <c r="H21" s="194"/>
      <c r="I21" s="67"/>
    </row>
    <row r="22" ht="27.75" customHeight="1">
      <c r="E22" s="414"/>
    </row>
  </sheetData>
  <sheetProtection/>
  <conditionalFormatting sqref="G5:H20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0">
      <selection activeCell="H17" sqref="H16:H17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3</v>
      </c>
      <c r="C2" s="171"/>
      <c r="D2" s="172" t="s">
        <v>426</v>
      </c>
      <c r="E2" s="173"/>
      <c r="F2" s="174"/>
      <c r="G2" s="174"/>
      <c r="H2" s="389"/>
      <c r="I2" s="178"/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5" t="s">
        <v>223</v>
      </c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3" t="s">
        <v>84</v>
      </c>
      <c r="C5" s="182" t="s">
        <v>108</v>
      </c>
      <c r="D5" s="182" t="s">
        <v>256</v>
      </c>
      <c r="E5" s="181" t="s">
        <v>228</v>
      </c>
      <c r="F5" s="183">
        <f>'基本単価表入力表'!F4</f>
        <v>62</v>
      </c>
      <c r="G5" s="184"/>
      <c r="H5" s="184"/>
      <c r="I5" s="342">
        <v>4</v>
      </c>
    </row>
    <row r="6" spans="2:9" ht="27.75" customHeight="1">
      <c r="B6" s="383" t="s">
        <v>206</v>
      </c>
      <c r="C6" s="182" t="s">
        <v>255</v>
      </c>
      <c r="D6" s="201" t="s">
        <v>456</v>
      </c>
      <c r="E6" s="181" t="s">
        <v>228</v>
      </c>
      <c r="F6" s="413">
        <f>1*14+2*3+2*29+2*6</f>
        <v>90</v>
      </c>
      <c r="G6" s="184"/>
      <c r="H6" s="184"/>
      <c r="I6" s="342">
        <v>6</v>
      </c>
    </row>
    <row r="7" spans="2:9" ht="27.75" customHeight="1">
      <c r="B7" s="383" t="s">
        <v>206</v>
      </c>
      <c r="C7" s="182" t="s">
        <v>69</v>
      </c>
      <c r="D7" s="181" t="s">
        <v>275</v>
      </c>
      <c r="E7" s="181" t="s">
        <v>228</v>
      </c>
      <c r="F7" s="183">
        <f>3*10</f>
        <v>30</v>
      </c>
      <c r="G7" s="184"/>
      <c r="H7" s="184"/>
      <c r="I7" s="342">
        <v>6</v>
      </c>
    </row>
    <row r="8" spans="2:9" ht="27.75" customHeight="1">
      <c r="B8" s="383" t="s">
        <v>0</v>
      </c>
      <c r="C8" s="182"/>
      <c r="D8" s="182" t="s">
        <v>428</v>
      </c>
      <c r="E8" s="181" t="s">
        <v>228</v>
      </c>
      <c r="F8" s="183">
        <f>2*'基本単価表入力表'!F6+3*'基本単価表入力表'!F5</f>
        <v>46</v>
      </c>
      <c r="G8" s="184"/>
      <c r="H8" s="184"/>
      <c r="I8" s="185"/>
    </row>
    <row r="9" spans="2:9" ht="27.75" customHeight="1">
      <c r="B9" s="383" t="s">
        <v>1</v>
      </c>
      <c r="C9" s="182" t="s">
        <v>233</v>
      </c>
      <c r="D9" s="182" t="s">
        <v>257</v>
      </c>
      <c r="E9" s="181" t="s">
        <v>228</v>
      </c>
      <c r="F9" s="183">
        <f>2*'基本単価表入力表'!G4</f>
        <v>8</v>
      </c>
      <c r="G9" s="184"/>
      <c r="H9" s="184"/>
      <c r="I9" s="185"/>
    </row>
    <row r="10" spans="2:9" ht="27.75" customHeight="1">
      <c r="B10" s="383" t="s">
        <v>110</v>
      </c>
      <c r="C10" s="182" t="s">
        <v>95</v>
      </c>
      <c r="D10" s="187"/>
      <c r="E10" s="181" t="s">
        <v>100</v>
      </c>
      <c r="F10" s="183">
        <v>1</v>
      </c>
      <c r="G10" s="186"/>
      <c r="H10" s="184"/>
      <c r="I10" s="392"/>
    </row>
    <row r="11" spans="2:9" ht="27.75" customHeight="1">
      <c r="B11" s="181"/>
      <c r="C11" s="182"/>
      <c r="D11" s="187"/>
      <c r="E11" s="181"/>
      <c r="F11" s="183"/>
      <c r="G11" s="186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1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  <headerFooter alignWithMargins="0">
    <oddHeader>&amp;R&amp;"ＭＳ ゴシック,斜体"&amp;6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7">
      <selection activeCell="I10" sqref="I10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4</v>
      </c>
      <c r="C2" s="171"/>
      <c r="D2" s="172" t="s">
        <v>429</v>
      </c>
      <c r="E2" s="173"/>
      <c r="F2" s="174"/>
      <c r="G2" s="174"/>
      <c r="H2" s="389"/>
      <c r="I2" s="178"/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5" t="s">
        <v>223</v>
      </c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3" t="s">
        <v>84</v>
      </c>
      <c r="C5" s="182" t="s">
        <v>108</v>
      </c>
      <c r="D5" s="182" t="s">
        <v>256</v>
      </c>
      <c r="E5" s="181" t="s">
        <v>228</v>
      </c>
      <c r="F5" s="183">
        <f>'基本単価表入力表'!N4</f>
        <v>62</v>
      </c>
      <c r="G5" s="184"/>
      <c r="H5" s="184"/>
      <c r="I5" s="342">
        <v>4</v>
      </c>
    </row>
    <row r="6" spans="2:9" ht="27.75" customHeight="1">
      <c r="B6" s="383" t="s">
        <v>206</v>
      </c>
      <c r="C6" s="182" t="s">
        <v>255</v>
      </c>
      <c r="D6" s="201" t="s">
        <v>456</v>
      </c>
      <c r="E6" s="181" t="s">
        <v>228</v>
      </c>
      <c r="F6" s="413">
        <f>1*14+2*3+2*29+2*6</f>
        <v>90</v>
      </c>
      <c r="G6" s="184"/>
      <c r="H6" s="184"/>
      <c r="I6" s="342">
        <v>6</v>
      </c>
    </row>
    <row r="7" spans="2:9" ht="27.75" customHeight="1">
      <c r="B7" s="383" t="s">
        <v>206</v>
      </c>
      <c r="C7" s="182" t="s">
        <v>69</v>
      </c>
      <c r="D7" s="181" t="s">
        <v>275</v>
      </c>
      <c r="E7" s="181" t="s">
        <v>228</v>
      </c>
      <c r="F7" s="183">
        <f>3*10</f>
        <v>30</v>
      </c>
      <c r="G7" s="184"/>
      <c r="H7" s="184"/>
      <c r="I7" s="342">
        <v>6</v>
      </c>
    </row>
    <row r="8" spans="2:9" ht="27.75" customHeight="1">
      <c r="B8" s="383" t="s">
        <v>0</v>
      </c>
      <c r="C8" s="182"/>
      <c r="D8" s="182" t="s">
        <v>430</v>
      </c>
      <c r="E8" s="181" t="s">
        <v>228</v>
      </c>
      <c r="F8" s="183">
        <f>2*'基本単価表入力表'!N6+3*'基本単価表入力表'!N5</f>
        <v>43</v>
      </c>
      <c r="G8" s="184"/>
      <c r="H8" s="184"/>
      <c r="I8" s="185"/>
    </row>
    <row r="9" spans="2:9" ht="27.75" customHeight="1">
      <c r="B9" s="383" t="s">
        <v>1</v>
      </c>
      <c r="C9" s="182" t="s">
        <v>233</v>
      </c>
      <c r="D9" s="182" t="s">
        <v>431</v>
      </c>
      <c r="E9" s="181" t="s">
        <v>228</v>
      </c>
      <c r="F9" s="183">
        <f>2*'基本単価表入力表'!O7+3*'基本単価表入力表'!O8</f>
        <v>9</v>
      </c>
      <c r="G9" s="184"/>
      <c r="H9" s="184"/>
      <c r="I9" s="185"/>
    </row>
    <row r="10" spans="2:9" ht="27.75" customHeight="1">
      <c r="B10" s="383" t="s">
        <v>110</v>
      </c>
      <c r="C10" s="182" t="s">
        <v>95</v>
      </c>
      <c r="D10" s="187"/>
      <c r="E10" s="181" t="s">
        <v>100</v>
      </c>
      <c r="F10" s="183">
        <v>1</v>
      </c>
      <c r="G10" s="186"/>
      <c r="H10" s="184"/>
      <c r="I10" s="392"/>
    </row>
    <row r="11" spans="2:9" ht="27.75" customHeight="1">
      <c r="B11" s="181"/>
      <c r="C11" s="182"/>
      <c r="D11" s="187"/>
      <c r="E11" s="181"/>
      <c r="F11" s="183"/>
      <c r="G11" s="186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1"/>
      <c r="F15" s="183"/>
      <c r="G15" s="184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10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  <headerFooter alignWithMargins="0">
    <oddHeader>&amp;R&amp;"ＭＳ ゴシック,斜体"&amp;6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4">
      <selection activeCell="I10" sqref="I10"/>
    </sheetView>
  </sheetViews>
  <sheetFormatPr defaultColWidth="10.875" defaultRowHeight="27.75" customHeight="1"/>
  <cols>
    <col min="1" max="1" width="1.00390625" style="145" customWidth="1"/>
    <col min="2" max="3" width="28.875" style="167" customWidth="1"/>
    <col min="4" max="4" width="28.875" style="145" customWidth="1"/>
    <col min="5" max="5" width="6.875" style="168" customWidth="1"/>
    <col min="6" max="6" width="10.875" style="169" customWidth="1"/>
    <col min="7" max="7" width="15.875" style="169" customWidth="1"/>
    <col min="8" max="8" width="18.875" style="169" customWidth="1"/>
    <col min="9" max="9" width="32.875" style="145" customWidth="1"/>
    <col min="10" max="10" width="1.00390625" style="145" customWidth="1"/>
    <col min="11" max="16384" width="10.875" style="145" customWidth="1"/>
  </cols>
  <sheetData>
    <row r="1" ht="4.5" customHeight="1"/>
    <row r="2" spans="2:9" ht="36" customHeight="1">
      <c r="B2" s="170">
        <v>5</v>
      </c>
      <c r="C2" s="171"/>
      <c r="D2" s="172" t="s">
        <v>399</v>
      </c>
      <c r="E2" s="173"/>
      <c r="F2" s="174"/>
      <c r="G2" s="174"/>
      <c r="H2" s="390"/>
      <c r="I2" s="175" t="s">
        <v>223</v>
      </c>
    </row>
    <row r="3" spans="2:9" ht="36" customHeight="1">
      <c r="B3" s="176"/>
      <c r="C3" s="177" t="s">
        <v>224</v>
      </c>
      <c r="D3" s="172"/>
      <c r="E3" s="173"/>
      <c r="F3" s="174"/>
      <c r="G3" s="174"/>
      <c r="H3" s="174"/>
      <c r="I3" s="178"/>
    </row>
    <row r="4" spans="2:9" s="180" customFormat="1" ht="27.75" customHeight="1">
      <c r="B4" s="179" t="s">
        <v>77</v>
      </c>
      <c r="C4" s="179" t="s">
        <v>78</v>
      </c>
      <c r="D4" s="179" t="s">
        <v>79</v>
      </c>
      <c r="E4" s="179" t="s">
        <v>80</v>
      </c>
      <c r="F4" s="179" t="s">
        <v>9</v>
      </c>
      <c r="G4" s="179" t="s">
        <v>10</v>
      </c>
      <c r="H4" s="179" t="s">
        <v>11</v>
      </c>
      <c r="I4" s="179" t="s">
        <v>12</v>
      </c>
    </row>
    <row r="5" spans="2:9" ht="27.75" customHeight="1">
      <c r="B5" s="383" t="s">
        <v>209</v>
      </c>
      <c r="C5" s="182" t="s">
        <v>146</v>
      </c>
      <c r="D5" s="181" t="s">
        <v>263</v>
      </c>
      <c r="E5" s="181" t="s">
        <v>228</v>
      </c>
      <c r="F5" s="183">
        <f>'基本単価表入力表'!G5</f>
        <v>14</v>
      </c>
      <c r="G5" s="184"/>
      <c r="H5" s="184"/>
      <c r="I5" s="342">
        <v>5</v>
      </c>
    </row>
    <row r="6" spans="2:9" ht="27.75" customHeight="1">
      <c r="B6" s="383" t="s">
        <v>209</v>
      </c>
      <c r="C6" s="182" t="s">
        <v>262</v>
      </c>
      <c r="D6" s="181" t="s">
        <v>264</v>
      </c>
      <c r="E6" s="181" t="s">
        <v>228</v>
      </c>
      <c r="F6" s="183">
        <f>2*48</f>
        <v>96</v>
      </c>
      <c r="G6" s="184"/>
      <c r="H6" s="184"/>
      <c r="I6" s="342">
        <v>5</v>
      </c>
    </row>
    <row r="7" spans="2:9" ht="27.75" customHeight="1">
      <c r="B7" s="383" t="s">
        <v>0</v>
      </c>
      <c r="C7" s="182"/>
      <c r="D7" s="181" t="s">
        <v>432</v>
      </c>
      <c r="E7" s="181" t="s">
        <v>228</v>
      </c>
      <c r="F7" s="183">
        <f>2*SUM('基本単価表入力表'!F5:F6)</f>
        <v>36</v>
      </c>
      <c r="G7" s="186"/>
      <c r="H7" s="184"/>
      <c r="I7" s="185"/>
    </row>
    <row r="8" spans="2:9" ht="27.75" customHeight="1">
      <c r="B8" s="383" t="s">
        <v>1</v>
      </c>
      <c r="C8" s="182" t="s">
        <v>233</v>
      </c>
      <c r="D8" s="182" t="s">
        <v>261</v>
      </c>
      <c r="E8" s="181" t="s">
        <v>228</v>
      </c>
      <c r="F8" s="183">
        <f>2*'基本単価表入力表'!G4</f>
        <v>8</v>
      </c>
      <c r="G8" s="184"/>
      <c r="H8" s="184"/>
      <c r="I8" s="185"/>
    </row>
    <row r="9" spans="2:9" ht="27.75" customHeight="1">
      <c r="B9" s="383" t="s">
        <v>110</v>
      </c>
      <c r="C9" s="182" t="s">
        <v>96</v>
      </c>
      <c r="D9" s="187"/>
      <c r="E9" s="181" t="s">
        <v>100</v>
      </c>
      <c r="F9" s="183">
        <v>1</v>
      </c>
      <c r="G9" s="186"/>
      <c r="H9" s="184"/>
      <c r="I9" s="392"/>
    </row>
    <row r="10" spans="2:9" ht="27.75" customHeight="1">
      <c r="B10" s="181"/>
      <c r="C10" s="182"/>
      <c r="D10" s="181"/>
      <c r="E10" s="181"/>
      <c r="F10" s="183"/>
      <c r="G10" s="184"/>
      <c r="H10" s="184"/>
      <c r="I10" s="185"/>
    </row>
    <row r="11" spans="2:9" ht="27.75" customHeight="1">
      <c r="B11" s="181"/>
      <c r="C11" s="182"/>
      <c r="D11" s="181"/>
      <c r="E11" s="181"/>
      <c r="F11" s="183"/>
      <c r="G11" s="184"/>
      <c r="H11" s="184"/>
      <c r="I11" s="185"/>
    </row>
    <row r="12" spans="2:9" ht="27.75" customHeight="1">
      <c r="B12" s="181"/>
      <c r="C12" s="182"/>
      <c r="D12" s="181"/>
      <c r="E12" s="181"/>
      <c r="F12" s="183"/>
      <c r="G12" s="184"/>
      <c r="H12" s="184"/>
      <c r="I12" s="185"/>
    </row>
    <row r="13" spans="2:9" ht="27.75" customHeight="1">
      <c r="B13" s="181"/>
      <c r="C13" s="182"/>
      <c r="D13" s="181"/>
      <c r="E13" s="181"/>
      <c r="F13" s="183"/>
      <c r="G13" s="184"/>
      <c r="H13" s="184"/>
      <c r="I13" s="185"/>
    </row>
    <row r="14" spans="2:9" ht="27.75" customHeight="1">
      <c r="B14" s="181"/>
      <c r="C14" s="182"/>
      <c r="D14" s="181"/>
      <c r="E14" s="181"/>
      <c r="F14" s="183"/>
      <c r="G14" s="184"/>
      <c r="H14" s="184"/>
      <c r="I14" s="185"/>
    </row>
    <row r="15" spans="2:9" ht="27.75" customHeight="1">
      <c r="B15" s="181"/>
      <c r="C15" s="182"/>
      <c r="D15" s="181"/>
      <c r="E15" s="188"/>
      <c r="F15" s="189"/>
      <c r="G15" s="186"/>
      <c r="H15" s="184"/>
      <c r="I15" s="185"/>
    </row>
    <row r="16" spans="2:9" ht="27.75" customHeight="1">
      <c r="B16" s="181"/>
      <c r="C16" s="182"/>
      <c r="D16" s="181"/>
      <c r="E16" s="188"/>
      <c r="F16" s="189"/>
      <c r="G16" s="186"/>
      <c r="H16" s="184"/>
      <c r="I16" s="185"/>
    </row>
    <row r="17" spans="2:9" ht="27.75" customHeight="1">
      <c r="B17" s="181"/>
      <c r="C17" s="182"/>
      <c r="D17" s="181"/>
      <c r="E17" s="188"/>
      <c r="F17" s="189"/>
      <c r="G17" s="186"/>
      <c r="H17" s="184"/>
      <c r="I17" s="185"/>
    </row>
    <row r="18" spans="2:9" ht="27.75" customHeight="1">
      <c r="B18" s="181"/>
      <c r="C18" s="182"/>
      <c r="D18" s="181"/>
      <c r="E18" s="181"/>
      <c r="F18" s="183"/>
      <c r="G18" s="184"/>
      <c r="H18" s="184"/>
      <c r="I18" s="185"/>
    </row>
    <row r="19" spans="2:9" s="191" customFormat="1" ht="27.75" customHeight="1">
      <c r="B19" s="181"/>
      <c r="C19" s="182"/>
      <c r="D19" s="181"/>
      <c r="E19" s="181"/>
      <c r="F19" s="183"/>
      <c r="G19" s="184"/>
      <c r="H19" s="184"/>
      <c r="I19" s="185"/>
    </row>
    <row r="20" spans="2:9" s="191" customFormat="1" ht="27.75" customHeight="1">
      <c r="B20" s="181" t="s">
        <v>101</v>
      </c>
      <c r="C20" s="182"/>
      <c r="D20" s="181"/>
      <c r="E20" s="181"/>
      <c r="F20" s="183"/>
      <c r="G20" s="184"/>
      <c r="H20" s="184"/>
      <c r="I20" s="185" t="s">
        <v>254</v>
      </c>
    </row>
    <row r="21" ht="4.5" customHeight="1"/>
    <row r="22" ht="27.75" customHeight="1">
      <c r="E22" s="414"/>
    </row>
  </sheetData>
  <sheetProtection/>
  <conditionalFormatting sqref="G5:H20 I9">
    <cfRule type="expression" priority="1" dxfId="59" stopIfTrue="1">
      <formula>$E$22=1</formula>
    </cfRule>
  </conditionalFormatting>
  <printOptions horizontalCentered="1"/>
  <pageMargins left="0.1968503937007874" right="0.1968503937007874" top="0.984251968503937" bottom="0.1968503937007874" header="0.7874015748031497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Hiroshima, JAPAN, 070-0071204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湯崎 俊彦</dc:creator>
  <cp:keywords/>
  <dc:description/>
  <cp:lastModifiedBy>honbukeiei-08</cp:lastModifiedBy>
  <cp:lastPrinted>2014-01-31T06:53:50Z</cp:lastPrinted>
  <dcterms:created xsi:type="dcterms:W3CDTF">2001-09-10T07:21:05Z</dcterms:created>
  <dcterms:modified xsi:type="dcterms:W3CDTF">2014-02-16T07:25:00Z</dcterms:modified>
  <cp:category/>
  <cp:version/>
  <cp:contentType/>
  <cp:contentStatus/>
</cp:coreProperties>
</file>